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obierajska\Desktop\uchwały krzysiek\"/>
    </mc:Choice>
  </mc:AlternateContent>
  <bookViews>
    <workbookView xWindow="0" yWindow="0" windowWidth="16380" windowHeight="8190" tabRatio="500" firstSheet="7" activeTab="13"/>
  </bookViews>
  <sheets>
    <sheet name="zał.1" sheetId="8" r:id="rId1"/>
    <sheet name="zał.2" sheetId="9" r:id="rId2"/>
    <sheet name="zał.3" sheetId="1" r:id="rId3"/>
    <sheet name="zał.4" sheetId="2" r:id="rId4"/>
    <sheet name="zał.5" sheetId="10" r:id="rId5"/>
    <sheet name="zał.6 " sheetId="11" r:id="rId6"/>
    <sheet name="zał.7" sheetId="12" r:id="rId7"/>
    <sheet name="zał.8 " sheetId="3" r:id="rId8"/>
    <sheet name="zał.9" sheetId="13" r:id="rId9"/>
    <sheet name="zał.10 (Część A)" sheetId="4" r:id="rId10"/>
    <sheet name="zał.10 (Część B)" sheetId="7" r:id="rId11"/>
    <sheet name="zał.11" sheetId="14" r:id="rId12"/>
    <sheet name="zał.12" sheetId="15" r:id="rId13"/>
    <sheet name="zał.13" sheetId="16" r:id="rId14"/>
  </sheets>
  <definedNames>
    <definedName name="Excel_BuiltIn_Print_Titles" localSheetId="9">'zał.10 (Część A)'!$8:$11</definedName>
    <definedName name="Excel_BuiltIn_Print_Titles" localSheetId="2">zał.3!#REF!</definedName>
    <definedName name="Excel_BuiltIn_Print_Titles" localSheetId="3">zał.4!$7:$9</definedName>
    <definedName name="_xlnm.Print_Area" localSheetId="0">zał.1!$A$1:$Q$167</definedName>
    <definedName name="_xlnm.Print_Area" localSheetId="12">zał.12!$A$1:$G$129</definedName>
    <definedName name="_xlnm.Print_Area" localSheetId="13">zał.13!$A$1:$H$77</definedName>
    <definedName name="_xlnm.Print_Area" localSheetId="1">zał.2!$A$1:$G$103</definedName>
    <definedName name="_xlnm.Print_Area" localSheetId="4">zał.5!$A$1:$F$59</definedName>
    <definedName name="_xlnm.Print_Titles" localSheetId="0">zał.1!$7:$11</definedName>
    <definedName name="_xlnm.Print_Titles" localSheetId="9">'zał.10 (Część A)'!$8:$11</definedName>
    <definedName name="_xlnm.Print_Titles" localSheetId="11">zał.11!$6:$8</definedName>
    <definedName name="_xlnm.Print_Titles" localSheetId="12">zał.12!$7:$9</definedName>
    <definedName name="_xlnm.Print_Titles" localSheetId="1">zał.2!$7:$8</definedName>
    <definedName name="_xlnm.Print_Titles" localSheetId="2">zał.3!$7:$11</definedName>
    <definedName name="_xlnm.Print_Titles" localSheetId="3">zał.4!$7:$9</definedName>
    <definedName name="_xlnm.Print_Titles" localSheetId="5">'zał.6 '!$7:$13</definedName>
    <definedName name="_xlnm.Print_Titles" localSheetId="6">zał.7!$8:$14</definedName>
    <definedName name="_xlnm.Print_Titles" localSheetId="7">'zał.8 '!$7:$11</definedName>
    <definedName name="_xlnm.Print_Titles" localSheetId="8">zał.9!$6:$9</definedName>
  </definedNames>
  <calcPr calcId="152511" fullCalcOnLoad="1"/>
</workbook>
</file>

<file path=xl/calcChain.xml><?xml version="1.0" encoding="utf-8"?>
<calcChain xmlns="http://schemas.openxmlformats.org/spreadsheetml/2006/main">
  <c r="H69" i="16" l="1"/>
  <c r="G69" i="16"/>
  <c r="F69" i="16"/>
  <c r="E69" i="16"/>
  <c r="H66" i="16"/>
  <c r="G66" i="16"/>
  <c r="F66" i="16"/>
  <c r="E66" i="16"/>
  <c r="H63" i="16"/>
  <c r="G63" i="16"/>
  <c r="F63" i="16"/>
  <c r="E63" i="16"/>
  <c r="E57" i="16"/>
  <c r="H60" i="16"/>
  <c r="G60" i="16"/>
  <c r="F60" i="16"/>
  <c r="E60" i="16"/>
  <c r="H57" i="16"/>
  <c r="G57" i="16"/>
  <c r="F57" i="16"/>
  <c r="H56" i="16"/>
  <c r="G56" i="16"/>
  <c r="F56" i="16"/>
  <c r="E56" i="16"/>
  <c r="H55" i="16"/>
  <c r="G55" i="16"/>
  <c r="F55" i="16"/>
  <c r="E55" i="16"/>
  <c r="H54" i="16"/>
  <c r="G54" i="16"/>
  <c r="F54" i="16"/>
  <c r="E54" i="16"/>
  <c r="H51" i="16"/>
  <c r="G51" i="16"/>
  <c r="F51" i="16"/>
  <c r="E51" i="16"/>
  <c r="H48" i="16"/>
  <c r="G48" i="16"/>
  <c r="F48" i="16"/>
  <c r="E48" i="16"/>
  <c r="H47" i="16"/>
  <c r="G47" i="16"/>
  <c r="F47" i="16"/>
  <c r="E47" i="16"/>
  <c r="H46" i="16"/>
  <c r="G46" i="16"/>
  <c r="F46" i="16"/>
  <c r="E46" i="16"/>
  <c r="H45" i="16"/>
  <c r="G45" i="16"/>
  <c r="F45" i="16"/>
  <c r="E45" i="16"/>
  <c r="H42" i="16"/>
  <c r="G42" i="16"/>
  <c r="F42" i="16"/>
  <c r="E42" i="16"/>
  <c r="H39" i="16"/>
  <c r="G39" i="16"/>
  <c r="F39" i="16"/>
  <c r="E39" i="16"/>
  <c r="H36" i="16"/>
  <c r="G36" i="16"/>
  <c r="F36" i="16"/>
  <c r="E36" i="16"/>
  <c r="H33" i="16"/>
  <c r="G33" i="16"/>
  <c r="F33" i="16"/>
  <c r="E33" i="16"/>
  <c r="H32" i="16"/>
  <c r="H71" i="16"/>
  <c r="G32" i="16"/>
  <c r="F32" i="16"/>
  <c r="E32" i="16"/>
  <c r="E71" i="16"/>
  <c r="H31" i="16"/>
  <c r="H70" i="16"/>
  <c r="G31" i="16"/>
  <c r="F31" i="16"/>
  <c r="F70" i="16"/>
  <c r="E31" i="16"/>
  <c r="E70" i="16"/>
  <c r="H30" i="16"/>
  <c r="G30" i="16"/>
  <c r="F30" i="16"/>
  <c r="E30" i="16"/>
  <c r="G27" i="16"/>
  <c r="F27" i="16"/>
  <c r="G24" i="16"/>
  <c r="G21" i="16"/>
  <c r="F24" i="16"/>
  <c r="F21" i="16"/>
  <c r="G20" i="16"/>
  <c r="G71" i="16"/>
  <c r="F20" i="16"/>
  <c r="F71" i="16"/>
  <c r="G19" i="16"/>
  <c r="G70" i="16"/>
  <c r="F19" i="16"/>
  <c r="H18" i="16"/>
  <c r="G18" i="16"/>
  <c r="F18" i="16"/>
  <c r="E18" i="16"/>
  <c r="H15" i="16"/>
  <c r="G15" i="16"/>
  <c r="F15" i="16"/>
  <c r="E15" i="16"/>
  <c r="H12" i="16"/>
  <c r="H72" i="16"/>
  <c r="G12" i="16"/>
  <c r="G72" i="16"/>
  <c r="F12" i="16"/>
  <c r="E12" i="16"/>
  <c r="E72" i="16"/>
  <c r="F72" i="16"/>
  <c r="G124" i="15"/>
  <c r="F124" i="15"/>
  <c r="G121" i="15"/>
  <c r="F121" i="15"/>
  <c r="G118" i="15"/>
  <c r="F118" i="15"/>
  <c r="G115" i="15"/>
  <c r="F115" i="15"/>
  <c r="G112" i="15"/>
  <c r="F112" i="15"/>
  <c r="G109" i="15"/>
  <c r="F109" i="15"/>
  <c r="G106" i="15"/>
  <c r="F106" i="15"/>
  <c r="G103" i="15"/>
  <c r="F103" i="15"/>
  <c r="G100" i="15"/>
  <c r="F100" i="15"/>
  <c r="G97" i="15"/>
  <c r="F97" i="15"/>
  <c r="G94" i="15"/>
  <c r="F94" i="15"/>
  <c r="G91" i="15"/>
  <c r="F91" i="15"/>
  <c r="G88" i="15"/>
  <c r="F88" i="15"/>
  <c r="G85" i="15"/>
  <c r="F85" i="15"/>
  <c r="G82" i="15"/>
  <c r="F82" i="15"/>
  <c r="G79" i="15"/>
  <c r="F79" i="15"/>
  <c r="G76" i="15"/>
  <c r="F76" i="15"/>
  <c r="G73" i="15"/>
  <c r="F73" i="15"/>
  <c r="G70" i="15"/>
  <c r="F70" i="15"/>
  <c r="G67" i="15"/>
  <c r="F67" i="15"/>
  <c r="G64" i="15"/>
  <c r="F64" i="15"/>
  <c r="G61" i="15"/>
  <c r="F61" i="15"/>
  <c r="G58" i="15"/>
  <c r="F58" i="15"/>
  <c r="G55" i="15"/>
  <c r="F55" i="15"/>
  <c r="G52" i="15"/>
  <c r="F52" i="15"/>
  <c r="G49" i="15"/>
  <c r="F49" i="15"/>
  <c r="G46" i="15"/>
  <c r="F46" i="15"/>
  <c r="G43" i="15"/>
  <c r="F43" i="15"/>
  <c r="G40" i="15"/>
  <c r="F40" i="15"/>
  <c r="G37" i="15"/>
  <c r="F37" i="15"/>
  <c r="G34" i="15"/>
  <c r="F34" i="15"/>
  <c r="G31" i="15"/>
  <c r="F31" i="15"/>
  <c r="G28" i="15"/>
  <c r="F28" i="15"/>
  <c r="G25" i="15"/>
  <c r="F25" i="15"/>
  <c r="G22" i="15"/>
  <c r="F22" i="15"/>
  <c r="G19" i="15"/>
  <c r="F19" i="15"/>
  <c r="G16" i="15"/>
  <c r="F16" i="15"/>
  <c r="F12" i="15"/>
  <c r="G12" i="15"/>
  <c r="G11" i="15"/>
  <c r="F11" i="15"/>
  <c r="G10" i="15"/>
  <c r="F10" i="15"/>
  <c r="G35" i="14"/>
  <c r="F35" i="14"/>
  <c r="G32" i="14"/>
  <c r="F32" i="14"/>
  <c r="G29" i="14"/>
  <c r="F29" i="14"/>
  <c r="G26" i="14"/>
  <c r="F26" i="14"/>
  <c r="G23" i="14"/>
  <c r="F23" i="14"/>
  <c r="G20" i="14"/>
  <c r="F20" i="14"/>
  <c r="G17" i="14"/>
  <c r="F17" i="14"/>
  <c r="G14" i="14"/>
  <c r="G11" i="14"/>
  <c r="F14" i="14"/>
  <c r="F11" i="14"/>
  <c r="G10" i="14"/>
  <c r="F10" i="14"/>
  <c r="G9" i="14"/>
  <c r="F9" i="14"/>
  <c r="N743" i="13"/>
  <c r="M743" i="13"/>
  <c r="L743" i="13"/>
  <c r="K743" i="13"/>
  <c r="J743" i="13"/>
  <c r="I743" i="13"/>
  <c r="L742" i="13"/>
  <c r="I742" i="13"/>
  <c r="H742" i="13"/>
  <c r="L741" i="13"/>
  <c r="H741" i="13"/>
  <c r="I741" i="13"/>
  <c r="N740" i="13"/>
  <c r="M740" i="13"/>
  <c r="L740" i="13"/>
  <c r="K740" i="13"/>
  <c r="J740" i="13"/>
  <c r="I740" i="13"/>
  <c r="L739" i="13"/>
  <c r="I739" i="13"/>
  <c r="H739" i="13"/>
  <c r="L738" i="13"/>
  <c r="I738" i="13"/>
  <c r="H738" i="13"/>
  <c r="N737" i="13"/>
  <c r="M737" i="13"/>
  <c r="L737" i="13"/>
  <c r="K737" i="13"/>
  <c r="J737" i="13"/>
  <c r="L736" i="13"/>
  <c r="I736" i="13"/>
  <c r="H736" i="13"/>
  <c r="L735" i="13"/>
  <c r="H735" i="13"/>
  <c r="I735" i="13"/>
  <c r="N734" i="13"/>
  <c r="M734" i="13"/>
  <c r="L734" i="13"/>
  <c r="K734" i="13"/>
  <c r="J734" i="13"/>
  <c r="I734" i="13"/>
  <c r="L733" i="13"/>
  <c r="H733" i="13"/>
  <c r="I733" i="13"/>
  <c r="L732" i="13"/>
  <c r="I732" i="13"/>
  <c r="H732" i="13"/>
  <c r="N731" i="13"/>
  <c r="M731" i="13"/>
  <c r="L731" i="13"/>
  <c r="K731" i="13"/>
  <c r="J731" i="13"/>
  <c r="I731" i="13"/>
  <c r="H731" i="13"/>
  <c r="L730" i="13"/>
  <c r="I730" i="13"/>
  <c r="H730" i="13"/>
  <c r="L729" i="13"/>
  <c r="I729" i="13"/>
  <c r="H729" i="13"/>
  <c r="N728" i="13"/>
  <c r="M728" i="13"/>
  <c r="K728" i="13"/>
  <c r="I728" i="13"/>
  <c r="J728" i="13"/>
  <c r="L727" i="13"/>
  <c r="I727" i="13"/>
  <c r="H727" i="13"/>
  <c r="L726" i="13"/>
  <c r="I726" i="13"/>
  <c r="H726" i="13"/>
  <c r="N725" i="13"/>
  <c r="L725" i="13"/>
  <c r="M725" i="13"/>
  <c r="K725" i="13"/>
  <c r="J725" i="13"/>
  <c r="I725" i="13"/>
  <c r="H725" i="13"/>
  <c r="L724" i="13"/>
  <c r="I724" i="13"/>
  <c r="H724" i="13"/>
  <c r="L723" i="13"/>
  <c r="I723" i="13"/>
  <c r="N722" i="13"/>
  <c r="M722" i="13"/>
  <c r="L722" i="13"/>
  <c r="K722" i="13"/>
  <c r="J722" i="13"/>
  <c r="I722" i="13"/>
  <c r="H722" i="13"/>
  <c r="L721" i="13"/>
  <c r="I721" i="13"/>
  <c r="H721" i="13"/>
  <c r="L720" i="13"/>
  <c r="I720" i="13"/>
  <c r="N719" i="13"/>
  <c r="M719" i="13"/>
  <c r="L719" i="13"/>
  <c r="H719" i="13"/>
  <c r="K719" i="13"/>
  <c r="J719" i="13"/>
  <c r="I719" i="13"/>
  <c r="L718" i="13"/>
  <c r="I718" i="13"/>
  <c r="H718" i="13"/>
  <c r="L717" i="13"/>
  <c r="I717" i="13"/>
  <c r="H717" i="13"/>
  <c r="N716" i="13"/>
  <c r="M716" i="13"/>
  <c r="L716" i="13"/>
  <c r="K716" i="13"/>
  <c r="J716" i="13"/>
  <c r="I716" i="13"/>
  <c r="H716" i="13"/>
  <c r="L715" i="13"/>
  <c r="I715" i="13"/>
  <c r="H715" i="13"/>
  <c r="L714" i="13"/>
  <c r="I714" i="13"/>
  <c r="H714" i="13"/>
  <c r="N713" i="13"/>
  <c r="L713" i="13"/>
  <c r="M713" i="13"/>
  <c r="K713" i="13"/>
  <c r="J713" i="13"/>
  <c r="I713" i="13"/>
  <c r="H713" i="13"/>
  <c r="L712" i="13"/>
  <c r="I712" i="13"/>
  <c r="L711" i="13"/>
  <c r="I711" i="13"/>
  <c r="H711" i="13"/>
  <c r="N710" i="13"/>
  <c r="M710" i="13"/>
  <c r="L710" i="13"/>
  <c r="K710" i="13"/>
  <c r="J710" i="13"/>
  <c r="I710" i="13"/>
  <c r="H710" i="13"/>
  <c r="L709" i="13"/>
  <c r="I709" i="13"/>
  <c r="H709" i="13"/>
  <c r="L708" i="13"/>
  <c r="I708" i="13"/>
  <c r="N707" i="13"/>
  <c r="M707" i="13"/>
  <c r="L707" i="13"/>
  <c r="K707" i="13"/>
  <c r="J707" i="13"/>
  <c r="I707" i="13"/>
  <c r="L706" i="13"/>
  <c r="I706" i="13"/>
  <c r="H706" i="13"/>
  <c r="L705" i="13"/>
  <c r="H705" i="13"/>
  <c r="I705" i="13"/>
  <c r="N704" i="13"/>
  <c r="M704" i="13"/>
  <c r="L704" i="13"/>
  <c r="K704" i="13"/>
  <c r="J704" i="13"/>
  <c r="I704" i="13"/>
  <c r="L703" i="13"/>
  <c r="I703" i="13"/>
  <c r="L702" i="13"/>
  <c r="I702" i="13"/>
  <c r="H702" i="13"/>
  <c r="N701" i="13"/>
  <c r="M701" i="13"/>
  <c r="L701" i="13"/>
  <c r="K701" i="13"/>
  <c r="J701" i="13"/>
  <c r="L700" i="13"/>
  <c r="I700" i="13"/>
  <c r="H700" i="13"/>
  <c r="L699" i="13"/>
  <c r="I699" i="13"/>
  <c r="H699" i="13"/>
  <c r="N698" i="13"/>
  <c r="M698" i="13"/>
  <c r="L698" i="13"/>
  <c r="K698" i="13"/>
  <c r="I698" i="13"/>
  <c r="J698" i="13"/>
  <c r="H698" i="13"/>
  <c r="L697" i="13"/>
  <c r="H697" i="13"/>
  <c r="I697" i="13"/>
  <c r="L696" i="13"/>
  <c r="I696" i="13"/>
  <c r="H696" i="13"/>
  <c r="N695" i="13"/>
  <c r="M695" i="13"/>
  <c r="L695" i="13"/>
  <c r="H695" i="13"/>
  <c r="K695" i="13"/>
  <c r="J695" i="13"/>
  <c r="I695" i="13"/>
  <c r="L694" i="13"/>
  <c r="I694" i="13"/>
  <c r="H694" i="13"/>
  <c r="L693" i="13"/>
  <c r="I693" i="13"/>
  <c r="H693" i="13"/>
  <c r="N692" i="13"/>
  <c r="M692" i="13"/>
  <c r="L692" i="13"/>
  <c r="K692" i="13"/>
  <c r="J692" i="13"/>
  <c r="I692" i="13"/>
  <c r="H692" i="13"/>
  <c r="L691" i="13"/>
  <c r="H691" i="13"/>
  <c r="I691" i="13"/>
  <c r="L690" i="13"/>
  <c r="I690" i="13"/>
  <c r="H690" i="13"/>
  <c r="N689" i="13"/>
  <c r="M689" i="13"/>
  <c r="L689" i="13"/>
  <c r="K689" i="13"/>
  <c r="J689" i="13"/>
  <c r="I689" i="13"/>
  <c r="L688" i="13"/>
  <c r="I688" i="13"/>
  <c r="H688" i="13"/>
  <c r="L687" i="13"/>
  <c r="I687" i="13"/>
  <c r="H687" i="13"/>
  <c r="N686" i="13"/>
  <c r="M686" i="13"/>
  <c r="L686" i="13"/>
  <c r="K686" i="13"/>
  <c r="J686" i="13"/>
  <c r="I686" i="13"/>
  <c r="H686" i="13"/>
  <c r="L685" i="13"/>
  <c r="I685" i="13"/>
  <c r="H685" i="13"/>
  <c r="L684" i="13"/>
  <c r="I684" i="13"/>
  <c r="H684" i="13"/>
  <c r="N683" i="13"/>
  <c r="M683" i="13"/>
  <c r="L683" i="13"/>
  <c r="K683" i="13"/>
  <c r="J683" i="13"/>
  <c r="I683" i="13"/>
  <c r="L682" i="13"/>
  <c r="I682" i="13"/>
  <c r="H682" i="13"/>
  <c r="L681" i="13"/>
  <c r="I681" i="13"/>
  <c r="H681" i="13"/>
  <c r="N680" i="13"/>
  <c r="M680" i="13"/>
  <c r="K680" i="13"/>
  <c r="J680" i="13"/>
  <c r="I680" i="13"/>
  <c r="L679" i="13"/>
  <c r="I679" i="13"/>
  <c r="H679" i="13"/>
  <c r="L678" i="13"/>
  <c r="I678" i="13"/>
  <c r="H678" i="13"/>
  <c r="N677" i="13"/>
  <c r="L677" i="13"/>
  <c r="M677" i="13"/>
  <c r="K677" i="13"/>
  <c r="J677" i="13"/>
  <c r="I677" i="13"/>
  <c r="H677" i="13"/>
  <c r="L676" i="13"/>
  <c r="I676" i="13"/>
  <c r="H676" i="13"/>
  <c r="L675" i="13"/>
  <c r="I675" i="13"/>
  <c r="N674" i="13"/>
  <c r="M674" i="13"/>
  <c r="L674" i="13"/>
  <c r="K674" i="13"/>
  <c r="J674" i="13"/>
  <c r="I674" i="13"/>
  <c r="H674" i="13"/>
  <c r="L673" i="13"/>
  <c r="I673" i="13"/>
  <c r="H673" i="13"/>
  <c r="L672" i="13"/>
  <c r="I672" i="13"/>
  <c r="N671" i="13"/>
  <c r="M671" i="13"/>
  <c r="L671" i="13"/>
  <c r="K671" i="13"/>
  <c r="J671" i="13"/>
  <c r="I671" i="13"/>
  <c r="H671" i="13"/>
  <c r="L670" i="13"/>
  <c r="I670" i="13"/>
  <c r="H670" i="13"/>
  <c r="L669" i="13"/>
  <c r="H669" i="13"/>
  <c r="I669" i="13"/>
  <c r="N668" i="13"/>
  <c r="M668" i="13"/>
  <c r="L668" i="13"/>
  <c r="K668" i="13"/>
  <c r="J668" i="13"/>
  <c r="I668" i="13"/>
  <c r="L667" i="13"/>
  <c r="H667" i="13"/>
  <c r="I667" i="13"/>
  <c r="L666" i="13"/>
  <c r="I666" i="13"/>
  <c r="H666" i="13"/>
  <c r="N665" i="13"/>
  <c r="L665" i="13"/>
  <c r="M665" i="13"/>
  <c r="K665" i="13"/>
  <c r="J665" i="13"/>
  <c r="I665" i="13"/>
  <c r="L664" i="13"/>
  <c r="I664" i="13"/>
  <c r="L663" i="13"/>
  <c r="I663" i="13"/>
  <c r="H663" i="13"/>
  <c r="N662" i="13"/>
  <c r="M662" i="13"/>
  <c r="L662" i="13"/>
  <c r="K662" i="13"/>
  <c r="I662" i="13"/>
  <c r="H662" i="13"/>
  <c r="J662" i="13"/>
  <c r="L661" i="13"/>
  <c r="I661" i="13"/>
  <c r="H661" i="13"/>
  <c r="L660" i="13"/>
  <c r="I660" i="13"/>
  <c r="H660" i="13"/>
  <c r="N659" i="13"/>
  <c r="M659" i="13"/>
  <c r="L659" i="13"/>
  <c r="K659" i="13"/>
  <c r="J659" i="13"/>
  <c r="I659" i="13"/>
  <c r="L658" i="13"/>
  <c r="I658" i="13"/>
  <c r="H658" i="13"/>
  <c r="L657" i="13"/>
  <c r="H657" i="13"/>
  <c r="I657" i="13"/>
  <c r="N656" i="13"/>
  <c r="M656" i="13"/>
  <c r="L656" i="13"/>
  <c r="K656" i="13"/>
  <c r="J656" i="13"/>
  <c r="I656" i="13"/>
  <c r="L655" i="13"/>
  <c r="I655" i="13"/>
  <c r="L654" i="13"/>
  <c r="I654" i="13"/>
  <c r="H654" i="13"/>
  <c r="N653" i="13"/>
  <c r="M653" i="13"/>
  <c r="L653" i="13"/>
  <c r="K653" i="13"/>
  <c r="J653" i="13"/>
  <c r="L652" i="13"/>
  <c r="I652" i="13"/>
  <c r="H652" i="13"/>
  <c r="L651" i="13"/>
  <c r="I651" i="13"/>
  <c r="H651" i="13"/>
  <c r="N650" i="13"/>
  <c r="M650" i="13"/>
  <c r="L650" i="13"/>
  <c r="K650" i="13"/>
  <c r="I650" i="13"/>
  <c r="J650" i="13"/>
  <c r="L649" i="13"/>
  <c r="H649" i="13"/>
  <c r="I649" i="13"/>
  <c r="L648" i="13"/>
  <c r="I648" i="13"/>
  <c r="N647" i="13"/>
  <c r="L647" i="13"/>
  <c r="H647" i="13"/>
  <c r="M647" i="13"/>
  <c r="K647" i="13"/>
  <c r="J647" i="13"/>
  <c r="I647" i="13"/>
  <c r="L646" i="13"/>
  <c r="I646" i="13"/>
  <c r="H646" i="13"/>
  <c r="L645" i="13"/>
  <c r="H645" i="13"/>
  <c r="I645" i="13"/>
  <c r="N644" i="13"/>
  <c r="M644" i="13"/>
  <c r="L644" i="13"/>
  <c r="K644" i="13"/>
  <c r="J644" i="13"/>
  <c r="L643" i="13"/>
  <c r="I643" i="13"/>
  <c r="H643" i="13"/>
  <c r="L642" i="13"/>
  <c r="I642" i="13"/>
  <c r="H642" i="13"/>
  <c r="N641" i="13"/>
  <c r="L641" i="13"/>
  <c r="M641" i="13"/>
  <c r="K641" i="13"/>
  <c r="J641" i="13"/>
  <c r="I641" i="13"/>
  <c r="L640" i="13"/>
  <c r="I640" i="13"/>
  <c r="L639" i="13"/>
  <c r="I639" i="13"/>
  <c r="H639" i="13"/>
  <c r="N638" i="13"/>
  <c r="M638" i="13"/>
  <c r="L638" i="13"/>
  <c r="K638" i="13"/>
  <c r="I638" i="13"/>
  <c r="H638" i="13"/>
  <c r="J638" i="13"/>
  <c r="L637" i="13"/>
  <c r="I637" i="13"/>
  <c r="H637" i="13"/>
  <c r="L636" i="13"/>
  <c r="I636" i="13"/>
  <c r="H636" i="13"/>
  <c r="N635" i="13"/>
  <c r="M635" i="13"/>
  <c r="L635" i="13"/>
  <c r="K635" i="13"/>
  <c r="J635" i="13"/>
  <c r="I635" i="13"/>
  <c r="L634" i="13"/>
  <c r="I634" i="13"/>
  <c r="H634" i="13"/>
  <c r="L633" i="13"/>
  <c r="I633" i="13"/>
  <c r="H633" i="13"/>
  <c r="N632" i="13"/>
  <c r="M632" i="13"/>
  <c r="K632" i="13"/>
  <c r="I632" i="13"/>
  <c r="J632" i="13"/>
  <c r="L631" i="13"/>
  <c r="I631" i="13"/>
  <c r="H631" i="13"/>
  <c r="L630" i="13"/>
  <c r="I630" i="13"/>
  <c r="H630" i="13"/>
  <c r="N629" i="13"/>
  <c r="L629" i="13"/>
  <c r="M629" i="13"/>
  <c r="K629" i="13"/>
  <c r="J629" i="13"/>
  <c r="I629" i="13"/>
  <c r="H629" i="13"/>
  <c r="L628" i="13"/>
  <c r="I628" i="13"/>
  <c r="H628" i="13"/>
  <c r="L627" i="13"/>
  <c r="I627" i="13"/>
  <c r="N626" i="13"/>
  <c r="M626" i="13"/>
  <c r="L626" i="13"/>
  <c r="K626" i="13"/>
  <c r="J626" i="13"/>
  <c r="I626" i="13"/>
  <c r="H626" i="13"/>
  <c r="L625" i="13"/>
  <c r="I625" i="13"/>
  <c r="H625" i="13"/>
  <c r="L624" i="13"/>
  <c r="I624" i="13"/>
  <c r="N623" i="13"/>
  <c r="M623" i="13"/>
  <c r="L623" i="13"/>
  <c r="K623" i="13"/>
  <c r="J623" i="13"/>
  <c r="I623" i="13"/>
  <c r="L622" i="13"/>
  <c r="I622" i="13"/>
  <c r="H622" i="13"/>
  <c r="L621" i="13"/>
  <c r="I621" i="13"/>
  <c r="H621" i="13"/>
  <c r="N620" i="13"/>
  <c r="M620" i="13"/>
  <c r="K620" i="13"/>
  <c r="J620" i="13"/>
  <c r="I620" i="13"/>
  <c r="L619" i="13"/>
  <c r="I619" i="13"/>
  <c r="H619" i="13"/>
  <c r="L618" i="13"/>
  <c r="I618" i="13"/>
  <c r="H618" i="13"/>
  <c r="N617" i="13"/>
  <c r="M617" i="13"/>
  <c r="L617" i="13"/>
  <c r="H617" i="13"/>
  <c r="K617" i="13"/>
  <c r="J617" i="13"/>
  <c r="I617" i="13"/>
  <c r="L616" i="13"/>
  <c r="I616" i="13"/>
  <c r="L615" i="13"/>
  <c r="I615" i="13"/>
  <c r="H615" i="13"/>
  <c r="N614" i="13"/>
  <c r="M614" i="13"/>
  <c r="L614" i="13"/>
  <c r="K614" i="13"/>
  <c r="I614" i="13"/>
  <c r="H614" i="13"/>
  <c r="J614" i="13"/>
  <c r="L613" i="13"/>
  <c r="H613" i="13"/>
  <c r="I613" i="13"/>
  <c r="L612" i="13"/>
  <c r="I612" i="13"/>
  <c r="H612" i="13"/>
  <c r="N611" i="13"/>
  <c r="M611" i="13"/>
  <c r="L611" i="13"/>
  <c r="K611" i="13"/>
  <c r="J611" i="13"/>
  <c r="I611" i="13"/>
  <c r="H611" i="13"/>
  <c r="L610" i="13"/>
  <c r="I610" i="13"/>
  <c r="H610" i="13"/>
  <c r="L609" i="13"/>
  <c r="H609" i="13"/>
  <c r="I609" i="13"/>
  <c r="N608" i="13"/>
  <c r="M608" i="13"/>
  <c r="K608" i="13"/>
  <c r="J608" i="13"/>
  <c r="I608" i="13"/>
  <c r="L607" i="13"/>
  <c r="I607" i="13"/>
  <c r="H607" i="13"/>
  <c r="L606" i="13"/>
  <c r="I606" i="13"/>
  <c r="H606" i="13"/>
  <c r="N605" i="13"/>
  <c r="M605" i="13"/>
  <c r="L605" i="13"/>
  <c r="K605" i="13"/>
  <c r="J605" i="13"/>
  <c r="L604" i="13"/>
  <c r="I604" i="13"/>
  <c r="L603" i="13"/>
  <c r="I603" i="13"/>
  <c r="H603" i="13"/>
  <c r="N602" i="13"/>
  <c r="M602" i="13"/>
  <c r="L602" i="13"/>
  <c r="K602" i="13"/>
  <c r="I602" i="13"/>
  <c r="J602" i="13"/>
  <c r="H602" i="13"/>
  <c r="L601" i="13"/>
  <c r="H601" i="13"/>
  <c r="I601" i="13"/>
  <c r="L600" i="13"/>
  <c r="I600" i="13"/>
  <c r="H600" i="13"/>
  <c r="N599" i="13"/>
  <c r="L599" i="13"/>
  <c r="M599" i="13"/>
  <c r="K599" i="13"/>
  <c r="J599" i="13"/>
  <c r="I599" i="13"/>
  <c r="H599" i="13"/>
  <c r="L598" i="13"/>
  <c r="I598" i="13"/>
  <c r="H598" i="13"/>
  <c r="L597" i="13"/>
  <c r="H597" i="13"/>
  <c r="I597" i="13"/>
  <c r="N596" i="13"/>
  <c r="M596" i="13"/>
  <c r="L596" i="13"/>
  <c r="K596" i="13"/>
  <c r="J596" i="13"/>
  <c r="L595" i="13"/>
  <c r="I595" i="13"/>
  <c r="H595" i="13"/>
  <c r="L594" i="13"/>
  <c r="I594" i="13"/>
  <c r="H594" i="13"/>
  <c r="N593" i="13"/>
  <c r="L593" i="13"/>
  <c r="M593" i="13"/>
  <c r="K593" i="13"/>
  <c r="J593" i="13"/>
  <c r="I593" i="13"/>
  <c r="L592" i="13"/>
  <c r="I592" i="13"/>
  <c r="H592" i="13"/>
  <c r="L591" i="13"/>
  <c r="H591" i="13"/>
  <c r="I591" i="13"/>
  <c r="N590" i="13"/>
  <c r="M590" i="13"/>
  <c r="L590" i="13"/>
  <c r="K590" i="13"/>
  <c r="I590" i="13"/>
  <c r="H590" i="13"/>
  <c r="J590" i="13"/>
  <c r="L589" i="13"/>
  <c r="H589" i="13"/>
  <c r="I589" i="13"/>
  <c r="L588" i="13"/>
  <c r="I588" i="13"/>
  <c r="H588" i="13"/>
  <c r="N587" i="13"/>
  <c r="M587" i="13"/>
  <c r="K587" i="13"/>
  <c r="J587" i="13"/>
  <c r="I587" i="13"/>
  <c r="L586" i="13"/>
  <c r="I586" i="13"/>
  <c r="H586" i="13"/>
  <c r="L585" i="13"/>
  <c r="I585" i="13"/>
  <c r="H585" i="13"/>
  <c r="N584" i="13"/>
  <c r="M584" i="13"/>
  <c r="K584" i="13"/>
  <c r="J584" i="13"/>
  <c r="I584" i="13"/>
  <c r="L583" i="13"/>
  <c r="I583" i="13"/>
  <c r="H583" i="13"/>
  <c r="L582" i="13"/>
  <c r="I582" i="13"/>
  <c r="H582" i="13"/>
  <c r="N581" i="13"/>
  <c r="L581" i="13"/>
  <c r="M581" i="13"/>
  <c r="K581" i="13"/>
  <c r="J581" i="13"/>
  <c r="L580" i="13"/>
  <c r="I580" i="13"/>
  <c r="H580" i="13"/>
  <c r="L579" i="13"/>
  <c r="I579" i="13"/>
  <c r="H579" i="13"/>
  <c r="N578" i="13"/>
  <c r="M578" i="13"/>
  <c r="L578" i="13"/>
  <c r="K578" i="13"/>
  <c r="J578" i="13"/>
  <c r="I578" i="13"/>
  <c r="L577" i="13"/>
  <c r="I577" i="13"/>
  <c r="H577" i="13"/>
  <c r="L576" i="13"/>
  <c r="I576" i="13"/>
  <c r="N575" i="13"/>
  <c r="M575" i="13"/>
  <c r="L575" i="13"/>
  <c r="K575" i="13"/>
  <c r="J575" i="13"/>
  <c r="I575" i="13"/>
  <c r="L574" i="13"/>
  <c r="I574" i="13"/>
  <c r="H574" i="13"/>
  <c r="L573" i="13"/>
  <c r="I573" i="13"/>
  <c r="H573" i="13"/>
  <c r="N572" i="13"/>
  <c r="M572" i="13"/>
  <c r="K572" i="13"/>
  <c r="J572" i="13"/>
  <c r="I572" i="13"/>
  <c r="L571" i="13"/>
  <c r="I571" i="13"/>
  <c r="H571" i="13"/>
  <c r="L570" i="13"/>
  <c r="I570" i="13"/>
  <c r="H570" i="13"/>
  <c r="N569" i="13"/>
  <c r="L569" i="13"/>
  <c r="M569" i="13"/>
  <c r="K569" i="13"/>
  <c r="J569" i="13"/>
  <c r="I569" i="13"/>
  <c r="L568" i="13"/>
  <c r="I568" i="13"/>
  <c r="L567" i="13"/>
  <c r="H567" i="13"/>
  <c r="I567" i="13"/>
  <c r="N566" i="13"/>
  <c r="M566" i="13"/>
  <c r="L566" i="13"/>
  <c r="K566" i="13"/>
  <c r="J566" i="13"/>
  <c r="I566" i="13"/>
  <c r="H566" i="13"/>
  <c r="L565" i="13"/>
  <c r="I565" i="13"/>
  <c r="H565" i="13"/>
  <c r="L564" i="13"/>
  <c r="I564" i="13"/>
  <c r="H564" i="13"/>
  <c r="N563" i="13"/>
  <c r="M563" i="13"/>
  <c r="L563" i="13"/>
  <c r="K563" i="13"/>
  <c r="J563" i="13"/>
  <c r="I563" i="13"/>
  <c r="L562" i="13"/>
  <c r="I562" i="13"/>
  <c r="H562" i="13"/>
  <c r="L561" i="13"/>
  <c r="H561" i="13"/>
  <c r="I561" i="13"/>
  <c r="N560" i="13"/>
  <c r="M560" i="13"/>
  <c r="L560" i="13"/>
  <c r="K560" i="13"/>
  <c r="I560" i="13"/>
  <c r="J560" i="13"/>
  <c r="L559" i="13"/>
  <c r="I559" i="13"/>
  <c r="H559" i="13"/>
  <c r="L558" i="13"/>
  <c r="I558" i="13"/>
  <c r="H558" i="13"/>
  <c r="N557" i="13"/>
  <c r="M557" i="13"/>
  <c r="L557" i="13"/>
  <c r="K557" i="13"/>
  <c r="J557" i="13"/>
  <c r="L556" i="13"/>
  <c r="I556" i="13"/>
  <c r="H556" i="13"/>
  <c r="L555" i="13"/>
  <c r="I555" i="13"/>
  <c r="H555" i="13"/>
  <c r="N554" i="13"/>
  <c r="M554" i="13"/>
  <c r="L554" i="13"/>
  <c r="H554" i="13"/>
  <c r="K554" i="13"/>
  <c r="J554" i="13"/>
  <c r="I554" i="13"/>
  <c r="L553" i="13"/>
  <c r="I553" i="13"/>
  <c r="L552" i="13"/>
  <c r="I552" i="13"/>
  <c r="H552" i="13"/>
  <c r="N551" i="13"/>
  <c r="M551" i="13"/>
  <c r="L551" i="13"/>
  <c r="K551" i="13"/>
  <c r="I551" i="13"/>
  <c r="H551" i="13"/>
  <c r="J551" i="13"/>
  <c r="L550" i="13"/>
  <c r="H550" i="13"/>
  <c r="I550" i="13"/>
  <c r="L549" i="13"/>
  <c r="I549" i="13"/>
  <c r="H549" i="13"/>
  <c r="N548" i="13"/>
  <c r="M548" i="13"/>
  <c r="L548" i="13"/>
  <c r="K548" i="13"/>
  <c r="J548" i="13"/>
  <c r="I548" i="13"/>
  <c r="H548" i="13"/>
  <c r="L547" i="13"/>
  <c r="I547" i="13"/>
  <c r="H547" i="13"/>
  <c r="L546" i="13"/>
  <c r="H546" i="13"/>
  <c r="I546" i="13"/>
  <c r="N545" i="13"/>
  <c r="M545" i="13"/>
  <c r="L545" i="13"/>
  <c r="K545" i="13"/>
  <c r="I545" i="13"/>
  <c r="H545" i="13"/>
  <c r="J545" i="13"/>
  <c r="L544" i="13"/>
  <c r="I544" i="13"/>
  <c r="H544" i="13"/>
  <c r="L543" i="13"/>
  <c r="I543" i="13"/>
  <c r="H543" i="13"/>
  <c r="N542" i="13"/>
  <c r="M542" i="13"/>
  <c r="L542" i="13"/>
  <c r="K542" i="13"/>
  <c r="J542" i="13"/>
  <c r="L541" i="13"/>
  <c r="I541" i="13"/>
  <c r="H541" i="13"/>
  <c r="L540" i="13"/>
  <c r="I540" i="13"/>
  <c r="H540" i="13"/>
  <c r="N539" i="13"/>
  <c r="M539" i="13"/>
  <c r="L539" i="13"/>
  <c r="H539" i="13"/>
  <c r="K539" i="13"/>
  <c r="I539" i="13"/>
  <c r="J539" i="13"/>
  <c r="L538" i="13"/>
  <c r="H538" i="13"/>
  <c r="I538" i="13"/>
  <c r="L537" i="13"/>
  <c r="I537" i="13"/>
  <c r="H537" i="13"/>
  <c r="N536" i="13"/>
  <c r="L536" i="13"/>
  <c r="M536" i="13"/>
  <c r="K536" i="13"/>
  <c r="J536" i="13"/>
  <c r="I536" i="13"/>
  <c r="L535" i="13"/>
  <c r="I535" i="13"/>
  <c r="H535" i="13"/>
  <c r="L534" i="13"/>
  <c r="H534" i="13"/>
  <c r="I534" i="13"/>
  <c r="N533" i="13"/>
  <c r="M533" i="13"/>
  <c r="L533" i="13"/>
  <c r="K533" i="13"/>
  <c r="J533" i="13"/>
  <c r="I533" i="13"/>
  <c r="L532" i="13"/>
  <c r="I532" i="13"/>
  <c r="H532" i="13"/>
  <c r="L531" i="13"/>
  <c r="I531" i="13"/>
  <c r="H531" i="13"/>
  <c r="N530" i="13"/>
  <c r="M530" i="13"/>
  <c r="L530" i="13"/>
  <c r="K530" i="13"/>
  <c r="J530" i="13"/>
  <c r="L529" i="13"/>
  <c r="I529" i="13"/>
  <c r="H529" i="13"/>
  <c r="L528" i="13"/>
  <c r="H528" i="13"/>
  <c r="I528" i="13"/>
  <c r="N527" i="13"/>
  <c r="M527" i="13"/>
  <c r="L527" i="13"/>
  <c r="K527" i="13"/>
  <c r="J527" i="13"/>
  <c r="I527" i="13"/>
  <c r="L526" i="13"/>
  <c r="H526" i="13"/>
  <c r="I526" i="13"/>
  <c r="L525" i="13"/>
  <c r="I525" i="13"/>
  <c r="H525" i="13"/>
  <c r="N524" i="13"/>
  <c r="M524" i="13"/>
  <c r="L524" i="13"/>
  <c r="K524" i="13"/>
  <c r="J524" i="13"/>
  <c r="I524" i="13"/>
  <c r="H524" i="13"/>
  <c r="L523" i="13"/>
  <c r="I523" i="13"/>
  <c r="H523" i="13"/>
  <c r="L522" i="13"/>
  <c r="I522" i="13"/>
  <c r="H522" i="13"/>
  <c r="N521" i="13"/>
  <c r="M521" i="13"/>
  <c r="K521" i="13"/>
  <c r="J521" i="13"/>
  <c r="I521" i="13"/>
  <c r="L520" i="13"/>
  <c r="I520" i="13"/>
  <c r="H520" i="13"/>
  <c r="L519" i="13"/>
  <c r="I519" i="13"/>
  <c r="H519" i="13"/>
  <c r="N518" i="13"/>
  <c r="L518" i="13"/>
  <c r="M518" i="13"/>
  <c r="K518" i="13"/>
  <c r="J518" i="13"/>
  <c r="I518" i="13"/>
  <c r="H518" i="13"/>
  <c r="L517" i="13"/>
  <c r="I517" i="13"/>
  <c r="H517" i="13"/>
  <c r="L516" i="13"/>
  <c r="I516" i="13"/>
  <c r="H516" i="13"/>
  <c r="N515" i="13"/>
  <c r="M515" i="13"/>
  <c r="L515" i="13"/>
  <c r="K515" i="13"/>
  <c r="J515" i="13"/>
  <c r="I515" i="13"/>
  <c r="H515" i="13"/>
  <c r="L514" i="13"/>
  <c r="I514" i="13"/>
  <c r="H514" i="13"/>
  <c r="L513" i="13"/>
  <c r="I513" i="13"/>
  <c r="N512" i="13"/>
  <c r="L512" i="13"/>
  <c r="M512" i="13"/>
  <c r="K512" i="13"/>
  <c r="J512" i="13"/>
  <c r="I512" i="13"/>
  <c r="H512" i="13"/>
  <c r="L511" i="13"/>
  <c r="I511" i="13"/>
  <c r="H511" i="13"/>
  <c r="L510" i="13"/>
  <c r="I510" i="13"/>
  <c r="H510" i="13"/>
  <c r="N509" i="13"/>
  <c r="M509" i="13"/>
  <c r="L509" i="13"/>
  <c r="K509" i="13"/>
  <c r="J509" i="13"/>
  <c r="I509" i="13"/>
  <c r="H509" i="13"/>
  <c r="L508" i="13"/>
  <c r="I508" i="13"/>
  <c r="H508" i="13"/>
  <c r="L507" i="13"/>
  <c r="I507" i="13"/>
  <c r="H507" i="13"/>
  <c r="N506" i="13"/>
  <c r="L506" i="13"/>
  <c r="H506" i="13"/>
  <c r="M506" i="13"/>
  <c r="K506" i="13"/>
  <c r="J506" i="13"/>
  <c r="I506" i="13"/>
  <c r="L505" i="13"/>
  <c r="I505" i="13"/>
  <c r="L504" i="13"/>
  <c r="I504" i="13"/>
  <c r="H504" i="13"/>
  <c r="N503" i="13"/>
  <c r="M503" i="13"/>
  <c r="L503" i="13"/>
  <c r="K503" i="13"/>
  <c r="J503" i="13"/>
  <c r="I503" i="13"/>
  <c r="H503" i="13"/>
  <c r="L502" i="13"/>
  <c r="I502" i="13"/>
  <c r="H502" i="13"/>
  <c r="L501" i="13"/>
  <c r="I501" i="13"/>
  <c r="N500" i="13"/>
  <c r="M500" i="13"/>
  <c r="L500" i="13"/>
  <c r="K500" i="13"/>
  <c r="J500" i="13"/>
  <c r="I500" i="13"/>
  <c r="H500" i="13"/>
  <c r="L499" i="13"/>
  <c r="I499" i="13"/>
  <c r="H499" i="13"/>
  <c r="L498" i="13"/>
  <c r="H498" i="13"/>
  <c r="I498" i="13"/>
  <c r="N497" i="13"/>
  <c r="M497" i="13"/>
  <c r="L497" i="13"/>
  <c r="K497" i="13"/>
  <c r="I497" i="13"/>
  <c r="H497" i="13"/>
  <c r="J497" i="13"/>
  <c r="L496" i="13"/>
  <c r="I496" i="13"/>
  <c r="H496" i="13"/>
  <c r="L495" i="13"/>
  <c r="I495" i="13"/>
  <c r="H495" i="13"/>
  <c r="N494" i="13"/>
  <c r="M494" i="13"/>
  <c r="L494" i="13"/>
  <c r="K494" i="13"/>
  <c r="J494" i="13"/>
  <c r="L493" i="13"/>
  <c r="I493" i="13"/>
  <c r="H493" i="13"/>
  <c r="L492" i="13"/>
  <c r="I492" i="13"/>
  <c r="H492" i="13"/>
  <c r="N491" i="13"/>
  <c r="M491" i="13"/>
  <c r="L491" i="13"/>
  <c r="K491" i="13"/>
  <c r="I491" i="13"/>
  <c r="J491" i="13"/>
  <c r="H491" i="13"/>
  <c r="L490" i="13"/>
  <c r="H490" i="13"/>
  <c r="I490" i="13"/>
  <c r="L489" i="13"/>
  <c r="I489" i="13"/>
  <c r="H489" i="13"/>
  <c r="N488" i="13"/>
  <c r="M488" i="13"/>
  <c r="L488" i="13"/>
  <c r="H488" i="13"/>
  <c r="K488" i="13"/>
  <c r="J488" i="13"/>
  <c r="I488" i="13"/>
  <c r="L487" i="13"/>
  <c r="I487" i="13"/>
  <c r="H487" i="13"/>
  <c r="L486" i="13"/>
  <c r="I486" i="13"/>
  <c r="H486" i="13"/>
  <c r="N485" i="13"/>
  <c r="M485" i="13"/>
  <c r="L485" i="13"/>
  <c r="K485" i="13"/>
  <c r="J485" i="13"/>
  <c r="I485" i="13"/>
  <c r="H485" i="13"/>
  <c r="L484" i="13"/>
  <c r="H484" i="13"/>
  <c r="I484" i="13"/>
  <c r="L483" i="13"/>
  <c r="I483" i="13"/>
  <c r="H483" i="13"/>
  <c r="N482" i="13"/>
  <c r="M482" i="13"/>
  <c r="L482" i="13"/>
  <c r="K482" i="13"/>
  <c r="J482" i="13"/>
  <c r="I482" i="13"/>
  <c r="L481" i="13"/>
  <c r="I481" i="13"/>
  <c r="H481" i="13"/>
  <c r="L480" i="13"/>
  <c r="I480" i="13"/>
  <c r="H480" i="13"/>
  <c r="N479" i="13"/>
  <c r="M479" i="13"/>
  <c r="L479" i="13"/>
  <c r="K479" i="13"/>
  <c r="J479" i="13"/>
  <c r="I479" i="13"/>
  <c r="H479" i="13"/>
  <c r="L478" i="13"/>
  <c r="I478" i="13"/>
  <c r="H478" i="13"/>
  <c r="L477" i="13"/>
  <c r="I477" i="13"/>
  <c r="H477" i="13"/>
  <c r="N476" i="13"/>
  <c r="M476" i="13"/>
  <c r="L476" i="13"/>
  <c r="K476" i="13"/>
  <c r="J476" i="13"/>
  <c r="I476" i="13"/>
  <c r="L475" i="13"/>
  <c r="I475" i="13"/>
  <c r="H475" i="13"/>
  <c r="L474" i="13"/>
  <c r="I474" i="13"/>
  <c r="H474" i="13"/>
  <c r="N473" i="13"/>
  <c r="M473" i="13"/>
  <c r="K473" i="13"/>
  <c r="J473" i="13"/>
  <c r="I473" i="13"/>
  <c r="L472" i="13"/>
  <c r="I472" i="13"/>
  <c r="H472" i="13"/>
  <c r="L471" i="13"/>
  <c r="I471" i="13"/>
  <c r="H471" i="13"/>
  <c r="N470" i="13"/>
  <c r="L470" i="13"/>
  <c r="M470" i="13"/>
  <c r="K470" i="13"/>
  <c r="J470" i="13"/>
  <c r="I470" i="13"/>
  <c r="H470" i="13"/>
  <c r="L469" i="13"/>
  <c r="I469" i="13"/>
  <c r="H469" i="13"/>
  <c r="L468" i="13"/>
  <c r="I468" i="13"/>
  <c r="H468" i="13"/>
  <c r="N467" i="13"/>
  <c r="M467" i="13"/>
  <c r="L467" i="13"/>
  <c r="K467" i="13"/>
  <c r="J467" i="13"/>
  <c r="I467" i="13"/>
  <c r="H467" i="13"/>
  <c r="L466" i="13"/>
  <c r="I466" i="13"/>
  <c r="H466" i="13"/>
  <c r="L465" i="13"/>
  <c r="I465" i="13"/>
  <c r="N464" i="13"/>
  <c r="M464" i="13"/>
  <c r="L464" i="13"/>
  <c r="K464" i="13"/>
  <c r="J464" i="13"/>
  <c r="I464" i="13"/>
  <c r="H464" i="13"/>
  <c r="L463" i="13"/>
  <c r="I463" i="13"/>
  <c r="H463" i="13"/>
  <c r="L462" i="13"/>
  <c r="H462" i="13"/>
  <c r="I462" i="13"/>
  <c r="N461" i="13"/>
  <c r="M461" i="13"/>
  <c r="L461" i="13"/>
  <c r="K461" i="13"/>
  <c r="J461" i="13"/>
  <c r="I461" i="13"/>
  <c r="L460" i="13"/>
  <c r="H460" i="13"/>
  <c r="I460" i="13"/>
  <c r="L459" i="13"/>
  <c r="I459" i="13"/>
  <c r="H459" i="13"/>
  <c r="N458" i="13"/>
  <c r="L458" i="13"/>
  <c r="M458" i="13"/>
  <c r="K458" i="13"/>
  <c r="J458" i="13"/>
  <c r="I458" i="13"/>
  <c r="L457" i="13"/>
  <c r="I457" i="13"/>
  <c r="L456" i="13"/>
  <c r="H456" i="13"/>
  <c r="I456" i="13"/>
  <c r="N455" i="13"/>
  <c r="M455" i="13"/>
  <c r="L455" i="13"/>
  <c r="K455" i="13"/>
  <c r="J455" i="13"/>
  <c r="I455" i="13"/>
  <c r="H455" i="13"/>
  <c r="L454" i="13"/>
  <c r="I454" i="13"/>
  <c r="H454" i="13"/>
  <c r="L453" i="13"/>
  <c r="I453" i="13"/>
  <c r="H453" i="13"/>
  <c r="N452" i="13"/>
  <c r="M452" i="13"/>
  <c r="L452" i="13"/>
  <c r="K452" i="13"/>
  <c r="J452" i="13"/>
  <c r="I452" i="13"/>
  <c r="L451" i="13"/>
  <c r="I451" i="13"/>
  <c r="H451" i="13"/>
  <c r="L450" i="13"/>
  <c r="H450" i="13"/>
  <c r="I450" i="13"/>
  <c r="N449" i="13"/>
  <c r="M449" i="13"/>
  <c r="L449" i="13"/>
  <c r="K449" i="13"/>
  <c r="J449" i="13"/>
  <c r="I449" i="13"/>
  <c r="L448" i="13"/>
  <c r="I448" i="13"/>
  <c r="L447" i="13"/>
  <c r="I447" i="13"/>
  <c r="H447" i="13"/>
  <c r="N446" i="13"/>
  <c r="M446" i="13"/>
  <c r="L446" i="13"/>
  <c r="K446" i="13"/>
  <c r="J446" i="13"/>
  <c r="L445" i="13"/>
  <c r="I445" i="13"/>
  <c r="H445" i="13"/>
  <c r="L444" i="13"/>
  <c r="I444" i="13"/>
  <c r="H444" i="13"/>
  <c r="N443" i="13"/>
  <c r="M443" i="13"/>
  <c r="L443" i="13"/>
  <c r="K443" i="13"/>
  <c r="I443" i="13"/>
  <c r="H443" i="13"/>
  <c r="J443" i="13"/>
  <c r="L442" i="13"/>
  <c r="H442" i="13"/>
  <c r="I442" i="13"/>
  <c r="L441" i="13"/>
  <c r="I441" i="13"/>
  <c r="N440" i="13"/>
  <c r="M440" i="13"/>
  <c r="L440" i="13"/>
  <c r="H440" i="13"/>
  <c r="K440" i="13"/>
  <c r="J440" i="13"/>
  <c r="I440" i="13"/>
  <c r="L439" i="13"/>
  <c r="I439" i="13"/>
  <c r="H439" i="13"/>
  <c r="L438" i="13"/>
  <c r="I438" i="13"/>
  <c r="H438" i="13"/>
  <c r="N437" i="13"/>
  <c r="M437" i="13"/>
  <c r="L437" i="13"/>
  <c r="K437" i="13"/>
  <c r="J437" i="13"/>
  <c r="I437" i="13"/>
  <c r="H437" i="13"/>
  <c r="L436" i="13"/>
  <c r="I436" i="13"/>
  <c r="H436" i="13"/>
  <c r="L435" i="13"/>
  <c r="I435" i="13"/>
  <c r="H435" i="13"/>
  <c r="N434" i="13"/>
  <c r="L434" i="13"/>
  <c r="M434" i="13"/>
  <c r="K434" i="13"/>
  <c r="J434" i="13"/>
  <c r="I434" i="13"/>
  <c r="L433" i="13"/>
  <c r="I433" i="13"/>
  <c r="L432" i="13"/>
  <c r="I432" i="13"/>
  <c r="H432" i="13"/>
  <c r="N431" i="13"/>
  <c r="M431" i="13"/>
  <c r="L431" i="13"/>
  <c r="K431" i="13"/>
  <c r="I431" i="13"/>
  <c r="H431" i="13"/>
  <c r="J431" i="13"/>
  <c r="L430" i="13"/>
  <c r="I430" i="13"/>
  <c r="H430" i="13"/>
  <c r="L429" i="13"/>
  <c r="I429" i="13"/>
  <c r="H429" i="13"/>
  <c r="N428" i="13"/>
  <c r="M428" i="13"/>
  <c r="L428" i="13"/>
  <c r="K428" i="13"/>
  <c r="J428" i="13"/>
  <c r="I428" i="13"/>
  <c r="L427" i="13"/>
  <c r="I427" i="13"/>
  <c r="H427" i="13"/>
  <c r="L426" i="13"/>
  <c r="I426" i="13"/>
  <c r="H426" i="13"/>
  <c r="N425" i="13"/>
  <c r="M425" i="13"/>
  <c r="K425" i="13"/>
  <c r="I425" i="13"/>
  <c r="J425" i="13"/>
  <c r="L424" i="13"/>
  <c r="I424" i="13"/>
  <c r="H424" i="13"/>
  <c r="L423" i="13"/>
  <c r="I423" i="13"/>
  <c r="H423" i="13"/>
  <c r="N422" i="13"/>
  <c r="L422" i="13"/>
  <c r="M422" i="13"/>
  <c r="K422" i="13"/>
  <c r="J422" i="13"/>
  <c r="I422" i="13"/>
  <c r="H422" i="13"/>
  <c r="L421" i="13"/>
  <c r="I421" i="13"/>
  <c r="H421" i="13"/>
  <c r="L420" i="13"/>
  <c r="I420" i="13"/>
  <c r="N419" i="13"/>
  <c r="M419" i="13"/>
  <c r="L419" i="13"/>
  <c r="K419" i="13"/>
  <c r="J419" i="13"/>
  <c r="I419" i="13"/>
  <c r="H419" i="13"/>
  <c r="L418" i="13"/>
  <c r="I418" i="13"/>
  <c r="H418" i="13"/>
  <c r="L417" i="13"/>
  <c r="I417" i="13"/>
  <c r="N416" i="13"/>
  <c r="M416" i="13"/>
  <c r="L416" i="13"/>
  <c r="K416" i="13"/>
  <c r="J416" i="13"/>
  <c r="I416" i="13"/>
  <c r="H416" i="13"/>
  <c r="L415" i="13"/>
  <c r="I415" i="13"/>
  <c r="H415" i="13"/>
  <c r="L414" i="13"/>
  <c r="H414" i="13"/>
  <c r="I414" i="13"/>
  <c r="N413" i="13"/>
  <c r="M413" i="13"/>
  <c r="L413" i="13"/>
  <c r="K413" i="13"/>
  <c r="J413" i="13"/>
  <c r="I413" i="13"/>
  <c r="L412" i="13"/>
  <c r="H412" i="13"/>
  <c r="I412" i="13"/>
  <c r="L411" i="13"/>
  <c r="I411" i="13"/>
  <c r="H411" i="13"/>
  <c r="N410" i="13"/>
  <c r="M410" i="13"/>
  <c r="L410" i="13"/>
  <c r="H410" i="13"/>
  <c r="K410" i="13"/>
  <c r="J410" i="13"/>
  <c r="I410" i="13"/>
  <c r="L409" i="13"/>
  <c r="I409" i="13"/>
  <c r="L408" i="13"/>
  <c r="I408" i="13"/>
  <c r="H408" i="13"/>
  <c r="N407" i="13"/>
  <c r="M407" i="13"/>
  <c r="L407" i="13"/>
  <c r="K407" i="13"/>
  <c r="I407" i="13"/>
  <c r="H407" i="13"/>
  <c r="J407" i="13"/>
  <c r="L406" i="13"/>
  <c r="H406" i="13"/>
  <c r="I406" i="13"/>
  <c r="L405" i="13"/>
  <c r="I405" i="13"/>
  <c r="H405" i="13"/>
  <c r="N404" i="13"/>
  <c r="M404" i="13"/>
  <c r="L404" i="13"/>
  <c r="K404" i="13"/>
  <c r="J404" i="13"/>
  <c r="I404" i="13"/>
  <c r="H404" i="13"/>
  <c r="L403" i="13"/>
  <c r="I403" i="13"/>
  <c r="H403" i="13"/>
  <c r="L402" i="13"/>
  <c r="H402" i="13"/>
  <c r="I402" i="13"/>
  <c r="N401" i="13"/>
  <c r="M401" i="13"/>
  <c r="K401" i="13"/>
  <c r="J401" i="13"/>
  <c r="I401" i="13"/>
  <c r="L400" i="13"/>
  <c r="I400" i="13"/>
  <c r="H400" i="13"/>
  <c r="L399" i="13"/>
  <c r="I399" i="13"/>
  <c r="H399" i="13"/>
  <c r="N398" i="13"/>
  <c r="M398" i="13"/>
  <c r="L398" i="13"/>
  <c r="K398" i="13"/>
  <c r="J398" i="13"/>
  <c r="L397" i="13"/>
  <c r="I397" i="13"/>
  <c r="L396" i="13"/>
  <c r="I396" i="13"/>
  <c r="H396" i="13"/>
  <c r="N395" i="13"/>
  <c r="M395" i="13"/>
  <c r="L395" i="13"/>
  <c r="K395" i="13"/>
  <c r="I395" i="13"/>
  <c r="H395" i="13"/>
  <c r="J395" i="13"/>
  <c r="L394" i="13"/>
  <c r="H394" i="13"/>
  <c r="I394" i="13"/>
  <c r="L393" i="13"/>
  <c r="I393" i="13"/>
  <c r="H393" i="13"/>
  <c r="N392" i="13"/>
  <c r="M392" i="13"/>
  <c r="K392" i="13"/>
  <c r="J392" i="13"/>
  <c r="I392" i="13"/>
  <c r="L391" i="13"/>
  <c r="I391" i="13"/>
  <c r="H391" i="13"/>
  <c r="L390" i="13"/>
  <c r="H390" i="13"/>
  <c r="I390" i="13"/>
  <c r="J388" i="13"/>
  <c r="N387" i="13"/>
  <c r="M387" i="13"/>
  <c r="L387" i="13"/>
  <c r="K387" i="13"/>
  <c r="J387" i="13"/>
  <c r="I387" i="13"/>
  <c r="H387" i="13"/>
  <c r="N386" i="13"/>
  <c r="M386" i="13"/>
  <c r="L386" i="13"/>
  <c r="K386" i="13"/>
  <c r="I386" i="13"/>
  <c r="H386" i="13"/>
  <c r="J386" i="13"/>
  <c r="N384" i="13"/>
  <c r="N380" i="13"/>
  <c r="L380" i="13"/>
  <c r="M384" i="13"/>
  <c r="K384" i="13"/>
  <c r="K380" i="13"/>
  <c r="J384" i="13"/>
  <c r="L383" i="13"/>
  <c r="I383" i="13"/>
  <c r="L382" i="13"/>
  <c r="I382" i="13"/>
  <c r="H382" i="13"/>
  <c r="M380" i="13"/>
  <c r="N379" i="13"/>
  <c r="M379" i="13"/>
  <c r="L379" i="13"/>
  <c r="K379" i="13"/>
  <c r="J379" i="13"/>
  <c r="N378" i="13"/>
  <c r="M378" i="13"/>
  <c r="L378" i="13"/>
  <c r="K378" i="13"/>
  <c r="I378" i="13"/>
  <c r="H378" i="13"/>
  <c r="J378" i="13"/>
  <c r="N376" i="13"/>
  <c r="M376" i="13"/>
  <c r="L376" i="13"/>
  <c r="K376" i="13"/>
  <c r="J376" i="13"/>
  <c r="I376" i="13"/>
  <c r="L375" i="13"/>
  <c r="I375" i="13"/>
  <c r="H375" i="13"/>
  <c r="L374" i="13"/>
  <c r="I374" i="13"/>
  <c r="H374" i="13"/>
  <c r="N373" i="13"/>
  <c r="M373" i="13"/>
  <c r="K373" i="13"/>
  <c r="I373" i="13"/>
  <c r="J373" i="13"/>
  <c r="L372" i="13"/>
  <c r="I372" i="13"/>
  <c r="H372" i="13"/>
  <c r="L371" i="13"/>
  <c r="I371" i="13"/>
  <c r="H371" i="13"/>
  <c r="N370" i="13"/>
  <c r="M370" i="13"/>
  <c r="K370" i="13"/>
  <c r="J370" i="13"/>
  <c r="L369" i="13"/>
  <c r="I369" i="13"/>
  <c r="H369" i="13"/>
  <c r="L368" i="13"/>
  <c r="I368" i="13"/>
  <c r="K366" i="13"/>
  <c r="N365" i="13"/>
  <c r="L365" i="13"/>
  <c r="M365" i="13"/>
  <c r="K365" i="13"/>
  <c r="J365" i="13"/>
  <c r="N364" i="13"/>
  <c r="M364" i="13"/>
  <c r="L364" i="13"/>
  <c r="K364" i="13"/>
  <c r="J364" i="13"/>
  <c r="I364" i="13"/>
  <c r="N362" i="13"/>
  <c r="M362" i="13"/>
  <c r="L362" i="13"/>
  <c r="K362" i="13"/>
  <c r="J362" i="13"/>
  <c r="I362" i="13"/>
  <c r="H362" i="13"/>
  <c r="L361" i="13"/>
  <c r="I361" i="13"/>
  <c r="H361" i="13"/>
  <c r="L360" i="13"/>
  <c r="I360" i="13"/>
  <c r="H360" i="13"/>
  <c r="N359" i="13"/>
  <c r="M359" i="13"/>
  <c r="K359" i="13"/>
  <c r="J359" i="13"/>
  <c r="I359" i="13"/>
  <c r="L358" i="13"/>
  <c r="I358" i="13"/>
  <c r="H358" i="13"/>
  <c r="L357" i="13"/>
  <c r="I357" i="13"/>
  <c r="H357" i="13"/>
  <c r="N356" i="13"/>
  <c r="M356" i="13"/>
  <c r="L356" i="13"/>
  <c r="H356" i="13"/>
  <c r="K356" i="13"/>
  <c r="J356" i="13"/>
  <c r="I356" i="13"/>
  <c r="L355" i="13"/>
  <c r="I355" i="13"/>
  <c r="L354" i="13"/>
  <c r="I354" i="13"/>
  <c r="H354" i="13"/>
  <c r="N353" i="13"/>
  <c r="M353" i="13"/>
  <c r="L353" i="13"/>
  <c r="K353" i="13"/>
  <c r="I353" i="13"/>
  <c r="H353" i="13"/>
  <c r="J353" i="13"/>
  <c r="L352" i="13"/>
  <c r="H352" i="13"/>
  <c r="I352" i="13"/>
  <c r="L351" i="13"/>
  <c r="I351" i="13"/>
  <c r="H351" i="13"/>
  <c r="N350" i="13"/>
  <c r="M350" i="13"/>
  <c r="L350" i="13"/>
  <c r="K350" i="13"/>
  <c r="J350" i="13"/>
  <c r="I350" i="13"/>
  <c r="H350" i="13"/>
  <c r="L349" i="13"/>
  <c r="I349" i="13"/>
  <c r="H349" i="13"/>
  <c r="L348" i="13"/>
  <c r="H348" i="13"/>
  <c r="I348" i="13"/>
  <c r="N347" i="13"/>
  <c r="M347" i="13"/>
  <c r="L347" i="13"/>
  <c r="K347" i="13"/>
  <c r="I347" i="13"/>
  <c r="H347" i="13"/>
  <c r="J347" i="13"/>
  <c r="L346" i="13"/>
  <c r="H346" i="13"/>
  <c r="I346" i="13"/>
  <c r="L345" i="13"/>
  <c r="I345" i="13"/>
  <c r="H345" i="13"/>
  <c r="N344" i="13"/>
  <c r="L344" i="13"/>
  <c r="M344" i="13"/>
  <c r="K344" i="13"/>
  <c r="J344" i="13"/>
  <c r="I344" i="13"/>
  <c r="L343" i="13"/>
  <c r="I343" i="13"/>
  <c r="H343" i="13"/>
  <c r="L342" i="13"/>
  <c r="I342" i="13"/>
  <c r="H342" i="13"/>
  <c r="N341" i="13"/>
  <c r="M341" i="13"/>
  <c r="L341" i="13"/>
  <c r="K341" i="13"/>
  <c r="J341" i="13"/>
  <c r="I341" i="13"/>
  <c r="H341" i="13"/>
  <c r="L340" i="13"/>
  <c r="I340" i="13"/>
  <c r="H340" i="13"/>
  <c r="L339" i="13"/>
  <c r="I339" i="13"/>
  <c r="H339" i="13"/>
  <c r="N338" i="13"/>
  <c r="L338" i="13"/>
  <c r="M338" i="13"/>
  <c r="K338" i="13"/>
  <c r="J338" i="13"/>
  <c r="I338" i="13"/>
  <c r="L337" i="13"/>
  <c r="J337" i="13"/>
  <c r="I337" i="13"/>
  <c r="H337" i="13"/>
  <c r="L336" i="13"/>
  <c r="I336" i="13"/>
  <c r="H336" i="13"/>
  <c r="N335" i="13"/>
  <c r="M335" i="13"/>
  <c r="L335" i="13"/>
  <c r="K335" i="13"/>
  <c r="J335" i="13"/>
  <c r="I335" i="13"/>
  <c r="H335" i="13"/>
  <c r="L334" i="13"/>
  <c r="I334" i="13"/>
  <c r="H334" i="13"/>
  <c r="L333" i="13"/>
  <c r="I333" i="13"/>
  <c r="H333" i="13"/>
  <c r="N332" i="13"/>
  <c r="M332" i="13"/>
  <c r="K332" i="13"/>
  <c r="J332" i="13"/>
  <c r="I332" i="13"/>
  <c r="L331" i="13"/>
  <c r="I331" i="13"/>
  <c r="H331" i="13"/>
  <c r="L330" i="13"/>
  <c r="I330" i="13"/>
  <c r="H330" i="13"/>
  <c r="N329" i="13"/>
  <c r="L329" i="13"/>
  <c r="H329" i="13"/>
  <c r="M329" i="13"/>
  <c r="K329" i="13"/>
  <c r="J329" i="13"/>
  <c r="I329" i="13"/>
  <c r="L328" i="13"/>
  <c r="I328" i="13"/>
  <c r="H328" i="13"/>
  <c r="L327" i="13"/>
  <c r="I327" i="13"/>
  <c r="H327" i="13"/>
  <c r="N326" i="13"/>
  <c r="M326" i="13"/>
  <c r="L326" i="13"/>
  <c r="K326" i="13"/>
  <c r="J326" i="13"/>
  <c r="I326" i="13"/>
  <c r="H326" i="13"/>
  <c r="L325" i="13"/>
  <c r="I325" i="13"/>
  <c r="H325" i="13"/>
  <c r="L324" i="13"/>
  <c r="I324" i="13"/>
  <c r="N323" i="13"/>
  <c r="M323" i="13"/>
  <c r="L323" i="13"/>
  <c r="K323" i="13"/>
  <c r="J323" i="13"/>
  <c r="I323" i="13"/>
  <c r="H323" i="13"/>
  <c r="L322" i="13"/>
  <c r="I322" i="13"/>
  <c r="H322" i="13"/>
  <c r="L321" i="13"/>
  <c r="H321" i="13"/>
  <c r="I321" i="13"/>
  <c r="N320" i="13"/>
  <c r="M320" i="13"/>
  <c r="L320" i="13"/>
  <c r="K320" i="13"/>
  <c r="J320" i="13"/>
  <c r="I320" i="13"/>
  <c r="L319" i="13"/>
  <c r="H319" i="13"/>
  <c r="I319" i="13"/>
  <c r="L318" i="13"/>
  <c r="I318" i="13"/>
  <c r="H318" i="13"/>
  <c r="N317" i="13"/>
  <c r="M317" i="13"/>
  <c r="L317" i="13"/>
  <c r="H317" i="13"/>
  <c r="K317" i="13"/>
  <c r="J317" i="13"/>
  <c r="I317" i="13"/>
  <c r="L316" i="13"/>
  <c r="I316" i="13"/>
  <c r="L315" i="13"/>
  <c r="I315" i="13"/>
  <c r="H315" i="13"/>
  <c r="N314" i="13"/>
  <c r="M314" i="13"/>
  <c r="L314" i="13"/>
  <c r="K314" i="13"/>
  <c r="I314" i="13"/>
  <c r="H314" i="13"/>
  <c r="J314" i="13"/>
  <c r="L313" i="13"/>
  <c r="H313" i="13"/>
  <c r="I313" i="13"/>
  <c r="L312" i="13"/>
  <c r="I312" i="13"/>
  <c r="H312" i="13"/>
  <c r="N311" i="13"/>
  <c r="M311" i="13"/>
  <c r="L311" i="13"/>
  <c r="K311" i="13"/>
  <c r="J311" i="13"/>
  <c r="I311" i="13"/>
  <c r="H311" i="13"/>
  <c r="L310" i="13"/>
  <c r="I310" i="13"/>
  <c r="H310" i="13"/>
  <c r="L309" i="13"/>
  <c r="H309" i="13"/>
  <c r="I309" i="13"/>
  <c r="N308" i="13"/>
  <c r="M308" i="13"/>
  <c r="L308" i="13"/>
  <c r="J308" i="13"/>
  <c r="L307" i="13"/>
  <c r="K307" i="13"/>
  <c r="I307" i="13"/>
  <c r="H307" i="13"/>
  <c r="L306" i="13"/>
  <c r="K306" i="13"/>
  <c r="K194" i="13"/>
  <c r="I194" i="13"/>
  <c r="I306" i="13"/>
  <c r="H306" i="13"/>
  <c r="N305" i="13"/>
  <c r="M305" i="13"/>
  <c r="L305" i="13"/>
  <c r="K305" i="13"/>
  <c r="J305" i="13"/>
  <c r="I305" i="13"/>
  <c r="H305" i="13"/>
  <c r="L304" i="13"/>
  <c r="I304" i="13"/>
  <c r="H304" i="13"/>
  <c r="L303" i="13"/>
  <c r="H303" i="13"/>
  <c r="I303" i="13"/>
  <c r="N302" i="13"/>
  <c r="M302" i="13"/>
  <c r="L302" i="13"/>
  <c r="K302" i="13"/>
  <c r="I302" i="13"/>
  <c r="H302" i="13"/>
  <c r="J302" i="13"/>
  <c r="L301" i="13"/>
  <c r="I301" i="13"/>
  <c r="H301" i="13"/>
  <c r="L300" i="13"/>
  <c r="I300" i="13"/>
  <c r="H300" i="13"/>
  <c r="N299" i="13"/>
  <c r="M299" i="13"/>
  <c r="L299" i="13"/>
  <c r="K299" i="13"/>
  <c r="J299" i="13"/>
  <c r="L298" i="13"/>
  <c r="I298" i="13"/>
  <c r="H298" i="13"/>
  <c r="L297" i="13"/>
  <c r="I297" i="13"/>
  <c r="H297" i="13"/>
  <c r="N296" i="13"/>
  <c r="M296" i="13"/>
  <c r="L296" i="13"/>
  <c r="K296" i="13"/>
  <c r="I296" i="13"/>
  <c r="H296" i="13"/>
  <c r="J296" i="13"/>
  <c r="L295" i="13"/>
  <c r="H295" i="13"/>
  <c r="I295" i="13"/>
  <c r="L294" i="13"/>
  <c r="I294" i="13"/>
  <c r="H294" i="13"/>
  <c r="N293" i="13"/>
  <c r="L293" i="13"/>
  <c r="M293" i="13"/>
  <c r="K293" i="13"/>
  <c r="J293" i="13"/>
  <c r="I293" i="13"/>
  <c r="H293" i="13"/>
  <c r="L292" i="13"/>
  <c r="I292" i="13"/>
  <c r="H292" i="13"/>
  <c r="L291" i="13"/>
  <c r="I291" i="13"/>
  <c r="H291" i="13"/>
  <c r="N290" i="13"/>
  <c r="M290" i="13"/>
  <c r="L290" i="13"/>
  <c r="K290" i="13"/>
  <c r="J290" i="13"/>
  <c r="I290" i="13"/>
  <c r="H290" i="13"/>
  <c r="L289" i="13"/>
  <c r="I289" i="13"/>
  <c r="H289" i="13"/>
  <c r="L288" i="13"/>
  <c r="I288" i="13"/>
  <c r="H288" i="13"/>
  <c r="N287" i="13"/>
  <c r="L287" i="13"/>
  <c r="M287" i="13"/>
  <c r="K287" i="13"/>
  <c r="J287" i="13"/>
  <c r="I287" i="13"/>
  <c r="H287" i="13"/>
  <c r="L286" i="13"/>
  <c r="I286" i="13"/>
  <c r="H286" i="13"/>
  <c r="L285" i="13"/>
  <c r="H285" i="13"/>
  <c r="I285" i="13"/>
  <c r="N284" i="13"/>
  <c r="M284" i="13"/>
  <c r="L284" i="13"/>
  <c r="K284" i="13"/>
  <c r="J284" i="13"/>
  <c r="I284" i="13"/>
  <c r="H284" i="13"/>
  <c r="L283" i="13"/>
  <c r="I283" i="13"/>
  <c r="H283" i="13"/>
  <c r="L282" i="13"/>
  <c r="I282" i="13"/>
  <c r="H282" i="13"/>
  <c r="N281" i="13"/>
  <c r="M281" i="13"/>
  <c r="L281" i="13"/>
  <c r="K281" i="13"/>
  <c r="J281" i="13"/>
  <c r="I281" i="13"/>
  <c r="L280" i="13"/>
  <c r="I280" i="13"/>
  <c r="H280" i="13"/>
  <c r="L279" i="13"/>
  <c r="I279" i="13"/>
  <c r="H279" i="13"/>
  <c r="N278" i="13"/>
  <c r="M278" i="13"/>
  <c r="K278" i="13"/>
  <c r="J278" i="13"/>
  <c r="I278" i="13"/>
  <c r="L277" i="13"/>
  <c r="I277" i="13"/>
  <c r="H277" i="13"/>
  <c r="L276" i="13"/>
  <c r="I276" i="13"/>
  <c r="H276" i="13"/>
  <c r="N275" i="13"/>
  <c r="L275" i="13"/>
  <c r="M275" i="13"/>
  <c r="J275" i="13"/>
  <c r="L274" i="13"/>
  <c r="K274" i="13"/>
  <c r="I274" i="13"/>
  <c r="H274" i="13"/>
  <c r="L273" i="13"/>
  <c r="I273" i="13"/>
  <c r="N272" i="13"/>
  <c r="M272" i="13"/>
  <c r="L272" i="13"/>
  <c r="K272" i="13"/>
  <c r="J272" i="13"/>
  <c r="I272" i="13"/>
  <c r="H272" i="13"/>
  <c r="L271" i="13"/>
  <c r="I271" i="13"/>
  <c r="H271" i="13"/>
  <c r="L270" i="13"/>
  <c r="H270" i="13"/>
  <c r="I270" i="13"/>
  <c r="N269" i="13"/>
  <c r="M269" i="13"/>
  <c r="L269" i="13"/>
  <c r="K269" i="13"/>
  <c r="J269" i="13"/>
  <c r="I269" i="13"/>
  <c r="L268" i="13"/>
  <c r="H268" i="13"/>
  <c r="I268" i="13"/>
  <c r="L267" i="13"/>
  <c r="I267" i="13"/>
  <c r="H267" i="13"/>
  <c r="N266" i="13"/>
  <c r="M266" i="13"/>
  <c r="L266" i="13"/>
  <c r="H266" i="13"/>
  <c r="K266" i="13"/>
  <c r="J266" i="13"/>
  <c r="I266" i="13"/>
  <c r="L265" i="13"/>
  <c r="I265" i="13"/>
  <c r="L264" i="13"/>
  <c r="I264" i="13"/>
  <c r="H264" i="13"/>
  <c r="N263" i="13"/>
  <c r="M263" i="13"/>
  <c r="L263" i="13"/>
  <c r="K263" i="13"/>
  <c r="I263" i="13"/>
  <c r="H263" i="13"/>
  <c r="J263" i="13"/>
  <c r="L262" i="13"/>
  <c r="H262" i="13"/>
  <c r="I262" i="13"/>
  <c r="L261" i="13"/>
  <c r="I261" i="13"/>
  <c r="H261" i="13"/>
  <c r="N260" i="13"/>
  <c r="M260" i="13"/>
  <c r="L260" i="13"/>
  <c r="K260" i="13"/>
  <c r="J260" i="13"/>
  <c r="I260" i="13"/>
  <c r="H260" i="13"/>
  <c r="L259" i="13"/>
  <c r="I259" i="13"/>
  <c r="H259" i="13"/>
  <c r="L258" i="13"/>
  <c r="H258" i="13"/>
  <c r="I258" i="13"/>
  <c r="N257" i="13"/>
  <c r="M257" i="13"/>
  <c r="L257" i="13"/>
  <c r="K257" i="13"/>
  <c r="I257" i="13"/>
  <c r="H257" i="13"/>
  <c r="J257" i="13"/>
  <c r="L256" i="13"/>
  <c r="I256" i="13"/>
  <c r="H256" i="13"/>
  <c r="L255" i="13"/>
  <c r="I255" i="13"/>
  <c r="H255" i="13"/>
  <c r="N254" i="13"/>
  <c r="M254" i="13"/>
  <c r="L254" i="13"/>
  <c r="K254" i="13"/>
  <c r="J254" i="13"/>
  <c r="L253" i="13"/>
  <c r="I253" i="13"/>
  <c r="H253" i="13"/>
  <c r="L252" i="13"/>
  <c r="I252" i="13"/>
  <c r="H252" i="13"/>
  <c r="N251" i="13"/>
  <c r="M251" i="13"/>
  <c r="L251" i="13"/>
  <c r="K251" i="13"/>
  <c r="I251" i="13"/>
  <c r="H251" i="13"/>
  <c r="J251" i="13"/>
  <c r="L250" i="13"/>
  <c r="H250" i="13"/>
  <c r="K250" i="13"/>
  <c r="I250" i="13"/>
  <c r="L249" i="13"/>
  <c r="H249" i="13"/>
  <c r="I249" i="13"/>
  <c r="N248" i="13"/>
  <c r="M248" i="13"/>
  <c r="L248" i="13"/>
  <c r="J248" i="13"/>
  <c r="L247" i="13"/>
  <c r="K247" i="13"/>
  <c r="I247" i="13"/>
  <c r="H247" i="13"/>
  <c r="L246" i="13"/>
  <c r="I246" i="13"/>
  <c r="H246" i="13"/>
  <c r="N245" i="13"/>
  <c r="M245" i="13"/>
  <c r="L245" i="13"/>
  <c r="K245" i="13"/>
  <c r="I245" i="13"/>
  <c r="H245" i="13"/>
  <c r="J245" i="13"/>
  <c r="L244" i="13"/>
  <c r="H244" i="13"/>
  <c r="I244" i="13"/>
  <c r="L243" i="13"/>
  <c r="I243" i="13"/>
  <c r="H243" i="13"/>
  <c r="N242" i="13"/>
  <c r="M242" i="13"/>
  <c r="L242" i="13"/>
  <c r="K242" i="13"/>
  <c r="J242" i="13"/>
  <c r="I242" i="13"/>
  <c r="H242" i="13"/>
  <c r="L241" i="13"/>
  <c r="I241" i="13"/>
  <c r="H241" i="13"/>
  <c r="L240" i="13"/>
  <c r="H240" i="13"/>
  <c r="I240" i="13"/>
  <c r="N239" i="13"/>
  <c r="M239" i="13"/>
  <c r="L239" i="13"/>
  <c r="K239" i="13"/>
  <c r="I239" i="13"/>
  <c r="H239" i="13"/>
  <c r="J239" i="13"/>
  <c r="L238" i="13"/>
  <c r="I238" i="13"/>
  <c r="H238" i="13"/>
  <c r="L237" i="13"/>
  <c r="I237" i="13"/>
  <c r="H237" i="13"/>
  <c r="N236" i="13"/>
  <c r="M236" i="13"/>
  <c r="L236" i="13"/>
  <c r="K236" i="13"/>
  <c r="J236" i="13"/>
  <c r="L235" i="13"/>
  <c r="I235" i="13"/>
  <c r="H235" i="13"/>
  <c r="L234" i="13"/>
  <c r="I234" i="13"/>
  <c r="H234" i="13"/>
  <c r="N233" i="13"/>
  <c r="M233" i="13"/>
  <c r="L233" i="13"/>
  <c r="K233" i="13"/>
  <c r="I233" i="13"/>
  <c r="H233" i="13"/>
  <c r="J233" i="13"/>
  <c r="L232" i="13"/>
  <c r="H232" i="13"/>
  <c r="I232" i="13"/>
  <c r="L231" i="13"/>
  <c r="I231" i="13"/>
  <c r="H231" i="13"/>
  <c r="N230" i="13"/>
  <c r="L230" i="13"/>
  <c r="M230" i="13"/>
  <c r="K230" i="13"/>
  <c r="J230" i="13"/>
  <c r="I230" i="13"/>
  <c r="L229" i="13"/>
  <c r="I229" i="13"/>
  <c r="H229" i="13"/>
  <c r="L228" i="13"/>
  <c r="I228" i="13"/>
  <c r="H228" i="13"/>
  <c r="N227" i="13"/>
  <c r="M227" i="13"/>
  <c r="L227" i="13"/>
  <c r="K227" i="13"/>
  <c r="J227" i="13"/>
  <c r="I227" i="13"/>
  <c r="H227" i="13"/>
  <c r="L226" i="13"/>
  <c r="I226" i="13"/>
  <c r="H226" i="13"/>
  <c r="L225" i="13"/>
  <c r="I225" i="13"/>
  <c r="H225" i="13"/>
  <c r="N224" i="13"/>
  <c r="L224" i="13"/>
  <c r="M224" i="13"/>
  <c r="K224" i="13"/>
  <c r="J224" i="13"/>
  <c r="I224" i="13"/>
  <c r="H224" i="13"/>
  <c r="L223" i="13"/>
  <c r="I223" i="13"/>
  <c r="H223" i="13"/>
  <c r="L222" i="13"/>
  <c r="H222" i="13"/>
  <c r="I222" i="13"/>
  <c r="N221" i="13"/>
  <c r="M221" i="13"/>
  <c r="L221" i="13"/>
  <c r="K221" i="13"/>
  <c r="J221" i="13"/>
  <c r="I221" i="13"/>
  <c r="L220" i="13"/>
  <c r="I220" i="13"/>
  <c r="H220" i="13"/>
  <c r="L219" i="13"/>
  <c r="I219" i="13"/>
  <c r="H219" i="13"/>
  <c r="N218" i="13"/>
  <c r="M218" i="13"/>
  <c r="L218" i="13"/>
  <c r="K218" i="13"/>
  <c r="J218" i="13"/>
  <c r="I218" i="13"/>
  <c r="H218" i="13"/>
  <c r="L217" i="13"/>
  <c r="I217" i="13"/>
  <c r="H217" i="13"/>
  <c r="L216" i="13"/>
  <c r="I216" i="13"/>
  <c r="H216" i="13"/>
  <c r="N215" i="13"/>
  <c r="M215" i="13"/>
  <c r="K215" i="13"/>
  <c r="J215" i="13"/>
  <c r="I215" i="13"/>
  <c r="L214" i="13"/>
  <c r="I214" i="13"/>
  <c r="H214" i="13"/>
  <c r="L213" i="13"/>
  <c r="I213" i="13"/>
  <c r="H213" i="13"/>
  <c r="N212" i="13"/>
  <c r="L212" i="13"/>
  <c r="H212" i="13"/>
  <c r="M212" i="13"/>
  <c r="K212" i="13"/>
  <c r="J212" i="13"/>
  <c r="I212" i="13"/>
  <c r="L211" i="13"/>
  <c r="I211" i="13"/>
  <c r="H211" i="13"/>
  <c r="L210" i="13"/>
  <c r="I210" i="13"/>
  <c r="H210" i="13"/>
  <c r="N209" i="13"/>
  <c r="M209" i="13"/>
  <c r="L209" i="13"/>
  <c r="K209" i="13"/>
  <c r="J209" i="13"/>
  <c r="I209" i="13"/>
  <c r="H209" i="13"/>
  <c r="L208" i="13"/>
  <c r="I208" i="13"/>
  <c r="H208" i="13"/>
  <c r="L207" i="13"/>
  <c r="I207" i="13"/>
  <c r="N206" i="13"/>
  <c r="M206" i="13"/>
  <c r="L206" i="13"/>
  <c r="K206" i="13"/>
  <c r="J206" i="13"/>
  <c r="I206" i="13"/>
  <c r="H206" i="13"/>
  <c r="L205" i="13"/>
  <c r="I205" i="13"/>
  <c r="H205" i="13"/>
  <c r="L204" i="13"/>
  <c r="H204" i="13"/>
  <c r="I204" i="13"/>
  <c r="N203" i="13"/>
  <c r="M203" i="13"/>
  <c r="L203" i="13"/>
  <c r="K203" i="13"/>
  <c r="J203" i="13"/>
  <c r="I203" i="13"/>
  <c r="L202" i="13"/>
  <c r="H202" i="13"/>
  <c r="I202" i="13"/>
  <c r="L201" i="13"/>
  <c r="I201" i="13"/>
  <c r="H201" i="13"/>
  <c r="N200" i="13"/>
  <c r="M200" i="13"/>
  <c r="L200" i="13"/>
  <c r="K200" i="13"/>
  <c r="J200" i="13"/>
  <c r="L199" i="13"/>
  <c r="I199" i="13"/>
  <c r="L198" i="13"/>
  <c r="I198" i="13"/>
  <c r="H198" i="13"/>
  <c r="N195" i="13"/>
  <c r="M195" i="13"/>
  <c r="L195" i="13"/>
  <c r="N194" i="13"/>
  <c r="N182" i="13"/>
  <c r="N11" i="13"/>
  <c r="N745" i="13"/>
  <c r="M194" i="13"/>
  <c r="J194" i="13"/>
  <c r="J182" i="13"/>
  <c r="N192" i="13"/>
  <c r="M192" i="13"/>
  <c r="L192" i="13"/>
  <c r="K192" i="13"/>
  <c r="J192" i="13"/>
  <c r="I192" i="13"/>
  <c r="H192" i="13"/>
  <c r="L191" i="13"/>
  <c r="I191" i="13"/>
  <c r="H191" i="13"/>
  <c r="L190" i="13"/>
  <c r="H190" i="13"/>
  <c r="I190" i="13"/>
  <c r="N188" i="13"/>
  <c r="M188" i="13"/>
  <c r="K188" i="13"/>
  <c r="I188" i="13"/>
  <c r="J188" i="13"/>
  <c r="N187" i="13"/>
  <c r="N183" i="13"/>
  <c r="M187" i="13"/>
  <c r="L187" i="13"/>
  <c r="K187" i="13"/>
  <c r="J187" i="13"/>
  <c r="I187" i="13"/>
  <c r="N186" i="13"/>
  <c r="M186" i="13"/>
  <c r="L186" i="13"/>
  <c r="K186" i="13"/>
  <c r="J186" i="13"/>
  <c r="I186" i="13"/>
  <c r="H186" i="13"/>
  <c r="M182" i="13"/>
  <c r="N180" i="13"/>
  <c r="M180" i="13"/>
  <c r="L180" i="13"/>
  <c r="K180" i="13"/>
  <c r="K177" i="13"/>
  <c r="J180" i="13"/>
  <c r="L179" i="13"/>
  <c r="H179" i="13"/>
  <c r="I179" i="13"/>
  <c r="L178" i="13"/>
  <c r="I178" i="13"/>
  <c r="H178" i="13"/>
  <c r="N177" i="13"/>
  <c r="M177" i="13"/>
  <c r="L177" i="13"/>
  <c r="J177" i="13"/>
  <c r="I177" i="13"/>
  <c r="H177" i="13"/>
  <c r="N176" i="13"/>
  <c r="M176" i="13"/>
  <c r="L176" i="13"/>
  <c r="K176" i="13"/>
  <c r="J176" i="13"/>
  <c r="I176" i="13"/>
  <c r="H176" i="13"/>
  <c r="N175" i="13"/>
  <c r="M175" i="13"/>
  <c r="L175" i="13"/>
  <c r="H175" i="13"/>
  <c r="K175" i="13"/>
  <c r="J175" i="13"/>
  <c r="I175" i="13"/>
  <c r="N174" i="13"/>
  <c r="M174" i="13"/>
  <c r="K174" i="13"/>
  <c r="J174" i="13"/>
  <c r="I174" i="13"/>
  <c r="L173" i="13"/>
  <c r="I173" i="13"/>
  <c r="H173" i="13"/>
  <c r="L172" i="13"/>
  <c r="I172" i="13"/>
  <c r="H172" i="13"/>
  <c r="N171" i="13"/>
  <c r="L171" i="13"/>
  <c r="H171" i="13"/>
  <c r="M171" i="13"/>
  <c r="K171" i="13"/>
  <c r="J171" i="13"/>
  <c r="I171" i="13"/>
  <c r="L170" i="13"/>
  <c r="I170" i="13"/>
  <c r="H170" i="13"/>
  <c r="L169" i="13"/>
  <c r="I169" i="13"/>
  <c r="H169" i="13"/>
  <c r="N168" i="13"/>
  <c r="M168" i="13"/>
  <c r="L168" i="13"/>
  <c r="K168" i="13"/>
  <c r="J168" i="13"/>
  <c r="I168" i="13"/>
  <c r="H168" i="13"/>
  <c r="L167" i="13"/>
  <c r="I167" i="13"/>
  <c r="H167" i="13"/>
  <c r="L166" i="13"/>
  <c r="I166" i="13"/>
  <c r="M165" i="13"/>
  <c r="N164" i="13"/>
  <c r="M164" i="13"/>
  <c r="L164" i="13"/>
  <c r="K164" i="13"/>
  <c r="I164" i="13"/>
  <c r="H164" i="13"/>
  <c r="J164" i="13"/>
  <c r="N163" i="13"/>
  <c r="L163" i="13"/>
  <c r="H163" i="13"/>
  <c r="M163" i="13"/>
  <c r="K163" i="13"/>
  <c r="J163" i="13"/>
  <c r="I163" i="13"/>
  <c r="N162" i="13"/>
  <c r="M162" i="13"/>
  <c r="L162" i="13"/>
  <c r="K162" i="13"/>
  <c r="J162" i="13"/>
  <c r="I162" i="13"/>
  <c r="H162" i="13"/>
  <c r="L161" i="13"/>
  <c r="I161" i="13"/>
  <c r="H161" i="13"/>
  <c r="L160" i="13"/>
  <c r="I160" i="13"/>
  <c r="H160" i="13"/>
  <c r="N159" i="13"/>
  <c r="N156" i="13"/>
  <c r="M159" i="13"/>
  <c r="K159" i="13"/>
  <c r="K156" i="13"/>
  <c r="J159" i="13"/>
  <c r="L158" i="13"/>
  <c r="I158" i="13"/>
  <c r="H158" i="13"/>
  <c r="L157" i="13"/>
  <c r="H157" i="13"/>
  <c r="I157" i="13"/>
  <c r="M156" i="13"/>
  <c r="L156" i="13"/>
  <c r="N155" i="13"/>
  <c r="L155" i="13"/>
  <c r="M155" i="13"/>
  <c r="K155" i="13"/>
  <c r="J155" i="13"/>
  <c r="I155" i="13"/>
  <c r="N154" i="13"/>
  <c r="M154" i="13"/>
  <c r="L154" i="13"/>
  <c r="K154" i="13"/>
  <c r="I154" i="13"/>
  <c r="H154" i="13"/>
  <c r="J154" i="13"/>
  <c r="N153" i="13"/>
  <c r="M153" i="13"/>
  <c r="L153" i="13"/>
  <c r="K153" i="13"/>
  <c r="J153" i="13"/>
  <c r="I153" i="13"/>
  <c r="H153" i="13"/>
  <c r="L152" i="13"/>
  <c r="I152" i="13"/>
  <c r="H152" i="13"/>
  <c r="L151" i="13"/>
  <c r="I151" i="13"/>
  <c r="H151" i="13"/>
  <c r="N150" i="13"/>
  <c r="N147" i="13"/>
  <c r="N144" i="13"/>
  <c r="M150" i="13"/>
  <c r="K150" i="13"/>
  <c r="K147" i="13"/>
  <c r="K144" i="13"/>
  <c r="J150" i="13"/>
  <c r="J147" i="13"/>
  <c r="I150" i="13"/>
  <c r="L149" i="13"/>
  <c r="I149" i="13"/>
  <c r="H149" i="13"/>
  <c r="L148" i="13"/>
  <c r="I148" i="13"/>
  <c r="H148" i="13"/>
  <c r="N146" i="13"/>
  <c r="N143" i="13"/>
  <c r="M146" i="13"/>
  <c r="K146" i="13"/>
  <c r="J146" i="13"/>
  <c r="I146" i="13"/>
  <c r="N145" i="13"/>
  <c r="M145" i="13"/>
  <c r="L145" i="13"/>
  <c r="K145" i="13"/>
  <c r="J145" i="13"/>
  <c r="I145" i="13"/>
  <c r="H145" i="13"/>
  <c r="K143" i="13"/>
  <c r="J143" i="13"/>
  <c r="I143" i="13"/>
  <c r="N142" i="13"/>
  <c r="M142" i="13"/>
  <c r="L142" i="13"/>
  <c r="K142" i="13"/>
  <c r="I142" i="13"/>
  <c r="H142" i="13"/>
  <c r="J142" i="13"/>
  <c r="N141" i="13"/>
  <c r="M141" i="13"/>
  <c r="L141" i="13"/>
  <c r="K141" i="13"/>
  <c r="J141" i="13"/>
  <c r="I141" i="13"/>
  <c r="H141" i="13"/>
  <c r="L140" i="13"/>
  <c r="I140" i="13"/>
  <c r="H140" i="13"/>
  <c r="L139" i="13"/>
  <c r="I139" i="13"/>
  <c r="H139" i="13"/>
  <c r="N138" i="13"/>
  <c r="N135" i="13"/>
  <c r="N132" i="13"/>
  <c r="M138" i="13"/>
  <c r="K138" i="13"/>
  <c r="K135" i="13"/>
  <c r="K132" i="13"/>
  <c r="J138" i="13"/>
  <c r="J135" i="13"/>
  <c r="I138" i="13"/>
  <c r="L137" i="13"/>
  <c r="I137" i="13"/>
  <c r="H137" i="13"/>
  <c r="L136" i="13"/>
  <c r="I136" i="13"/>
  <c r="H136" i="13"/>
  <c r="N134" i="13"/>
  <c r="N131" i="13"/>
  <c r="M134" i="13"/>
  <c r="K134" i="13"/>
  <c r="J134" i="13"/>
  <c r="I134" i="13"/>
  <c r="N133" i="13"/>
  <c r="M133" i="13"/>
  <c r="L133" i="13"/>
  <c r="K133" i="13"/>
  <c r="J133" i="13"/>
  <c r="I133" i="13"/>
  <c r="H133" i="13"/>
  <c r="K131" i="13"/>
  <c r="J131" i="13"/>
  <c r="I131" i="13"/>
  <c r="N130" i="13"/>
  <c r="M130" i="13"/>
  <c r="L130" i="13"/>
  <c r="K130" i="13"/>
  <c r="I130" i="13"/>
  <c r="H130" i="13"/>
  <c r="J130" i="13"/>
  <c r="N129" i="13"/>
  <c r="M129" i="13"/>
  <c r="L129" i="13"/>
  <c r="K129" i="13"/>
  <c r="J129" i="13"/>
  <c r="I129" i="13"/>
  <c r="H129" i="13"/>
  <c r="L128" i="13"/>
  <c r="I128" i="13"/>
  <c r="H128" i="13"/>
  <c r="L127" i="13"/>
  <c r="I127" i="13"/>
  <c r="H127" i="13"/>
  <c r="N126" i="13"/>
  <c r="K126" i="13"/>
  <c r="J126" i="13"/>
  <c r="I126" i="13"/>
  <c r="N125" i="13"/>
  <c r="M125" i="13"/>
  <c r="L125" i="13"/>
  <c r="K125" i="13"/>
  <c r="J125" i="13"/>
  <c r="I125" i="13"/>
  <c r="H125" i="13"/>
  <c r="N124" i="13"/>
  <c r="M124" i="13"/>
  <c r="L124" i="13"/>
  <c r="K124" i="13"/>
  <c r="I124" i="13"/>
  <c r="H124" i="13"/>
  <c r="J124" i="13"/>
  <c r="N123" i="13"/>
  <c r="N120" i="13"/>
  <c r="M123" i="13"/>
  <c r="K123" i="13"/>
  <c r="J123" i="13"/>
  <c r="L122" i="13"/>
  <c r="I122" i="13"/>
  <c r="H122" i="13"/>
  <c r="L121" i="13"/>
  <c r="I121" i="13"/>
  <c r="H121" i="13"/>
  <c r="M120" i="13"/>
  <c r="L120" i="13"/>
  <c r="K120" i="13"/>
  <c r="N119" i="13"/>
  <c r="L119" i="13"/>
  <c r="H119" i="13"/>
  <c r="M119" i="13"/>
  <c r="K119" i="13"/>
  <c r="J119" i="13"/>
  <c r="I119" i="13"/>
  <c r="N118" i="13"/>
  <c r="M118" i="13"/>
  <c r="L118" i="13"/>
  <c r="K118" i="13"/>
  <c r="J118" i="13"/>
  <c r="I118" i="13"/>
  <c r="H118" i="13"/>
  <c r="N117" i="13"/>
  <c r="M117" i="13"/>
  <c r="L117" i="13"/>
  <c r="K117" i="13"/>
  <c r="J117" i="13"/>
  <c r="I117" i="13"/>
  <c r="H117" i="13"/>
  <c r="L116" i="13"/>
  <c r="I116" i="13"/>
  <c r="H116" i="13"/>
  <c r="L115" i="13"/>
  <c r="H115" i="13"/>
  <c r="I115" i="13"/>
  <c r="N114" i="13"/>
  <c r="M114" i="13"/>
  <c r="L114" i="13"/>
  <c r="K114" i="13"/>
  <c r="J114" i="13"/>
  <c r="I114" i="13"/>
  <c r="N113" i="13"/>
  <c r="L113" i="13"/>
  <c r="M113" i="13"/>
  <c r="K113" i="13"/>
  <c r="J113" i="13"/>
  <c r="I113" i="13"/>
  <c r="N112" i="13"/>
  <c r="M112" i="13"/>
  <c r="L112" i="13"/>
  <c r="K112" i="13"/>
  <c r="J112" i="13"/>
  <c r="I112" i="13"/>
  <c r="N111" i="13"/>
  <c r="N105" i="13"/>
  <c r="L105" i="13"/>
  <c r="M111" i="13"/>
  <c r="L111" i="13"/>
  <c r="H111" i="13"/>
  <c r="K111" i="13"/>
  <c r="J111" i="13"/>
  <c r="I111" i="13"/>
  <c r="L110" i="13"/>
  <c r="I110" i="13"/>
  <c r="L109" i="13"/>
  <c r="I109" i="13"/>
  <c r="H109" i="13"/>
  <c r="N108" i="13"/>
  <c r="M108" i="13"/>
  <c r="L108" i="13"/>
  <c r="K108" i="13"/>
  <c r="K105" i="13"/>
  <c r="J108" i="13"/>
  <c r="L107" i="13"/>
  <c r="H107" i="13"/>
  <c r="I107" i="13"/>
  <c r="L106" i="13"/>
  <c r="I106" i="13"/>
  <c r="H106" i="13"/>
  <c r="M105" i="13"/>
  <c r="J105" i="13"/>
  <c r="I105" i="13"/>
  <c r="H105" i="13"/>
  <c r="N104" i="13"/>
  <c r="M104" i="13"/>
  <c r="L104" i="13"/>
  <c r="K104" i="13"/>
  <c r="J104" i="13"/>
  <c r="I104" i="13"/>
  <c r="H104" i="13"/>
  <c r="N103" i="13"/>
  <c r="M103" i="13"/>
  <c r="L103" i="13"/>
  <c r="H103" i="13"/>
  <c r="K103" i="13"/>
  <c r="J103" i="13"/>
  <c r="I103" i="13"/>
  <c r="N102" i="13"/>
  <c r="M102" i="13"/>
  <c r="K102" i="13"/>
  <c r="J102" i="13"/>
  <c r="I102" i="13"/>
  <c r="L101" i="13"/>
  <c r="I101" i="13"/>
  <c r="H101" i="13"/>
  <c r="L100" i="13"/>
  <c r="I100" i="13"/>
  <c r="H100" i="13"/>
  <c r="N99" i="13"/>
  <c r="M99" i="13"/>
  <c r="K99" i="13"/>
  <c r="J99" i="13"/>
  <c r="L98" i="13"/>
  <c r="I98" i="13"/>
  <c r="H98" i="13"/>
  <c r="L97" i="13"/>
  <c r="I97" i="13"/>
  <c r="H97" i="13"/>
  <c r="M96" i="13"/>
  <c r="K96" i="13"/>
  <c r="K93" i="13"/>
  <c r="N95" i="13"/>
  <c r="N92" i="13"/>
  <c r="M95" i="13"/>
  <c r="K95" i="13"/>
  <c r="J95" i="13"/>
  <c r="N94" i="13"/>
  <c r="M94" i="13"/>
  <c r="K94" i="13"/>
  <c r="J94" i="13"/>
  <c r="I94" i="13"/>
  <c r="M93" i="13"/>
  <c r="M92" i="13"/>
  <c r="L92" i="13"/>
  <c r="K92" i="13"/>
  <c r="N91" i="13"/>
  <c r="K91" i="13"/>
  <c r="J91" i="13"/>
  <c r="I91" i="13"/>
  <c r="N90" i="13"/>
  <c r="M90" i="13"/>
  <c r="L90" i="13"/>
  <c r="K90" i="13"/>
  <c r="I90" i="13"/>
  <c r="H90" i="13"/>
  <c r="J90" i="13"/>
  <c r="L89" i="13"/>
  <c r="I89" i="13"/>
  <c r="H89" i="13"/>
  <c r="L88" i="13"/>
  <c r="I88" i="13"/>
  <c r="H88" i="13"/>
  <c r="N87" i="13"/>
  <c r="M87" i="13"/>
  <c r="L87" i="13"/>
  <c r="K87" i="13"/>
  <c r="K84" i="13"/>
  <c r="J87" i="13"/>
  <c r="L86" i="13"/>
  <c r="I86" i="13"/>
  <c r="H86" i="13"/>
  <c r="L85" i="13"/>
  <c r="I85" i="13"/>
  <c r="H85" i="13"/>
  <c r="M84" i="13"/>
  <c r="N83" i="13"/>
  <c r="M83" i="13"/>
  <c r="L83" i="13"/>
  <c r="K83" i="13"/>
  <c r="J83" i="13"/>
  <c r="N82" i="13"/>
  <c r="M82" i="13"/>
  <c r="L82" i="13"/>
  <c r="K82" i="13"/>
  <c r="J82" i="13"/>
  <c r="I82" i="13"/>
  <c r="N81" i="13"/>
  <c r="N78" i="13"/>
  <c r="M81" i="13"/>
  <c r="K81" i="13"/>
  <c r="J81" i="13"/>
  <c r="I81" i="13"/>
  <c r="L80" i="13"/>
  <c r="I80" i="13"/>
  <c r="H80" i="13"/>
  <c r="L79" i="13"/>
  <c r="I79" i="13"/>
  <c r="H79" i="13"/>
  <c r="M78" i="13"/>
  <c r="K78" i="13"/>
  <c r="J78" i="13"/>
  <c r="I78" i="13"/>
  <c r="N77" i="13"/>
  <c r="M77" i="13"/>
  <c r="L77" i="13"/>
  <c r="K77" i="13"/>
  <c r="J77" i="13"/>
  <c r="I77" i="13"/>
  <c r="H77" i="13"/>
  <c r="N76" i="13"/>
  <c r="M76" i="13"/>
  <c r="L76" i="13"/>
  <c r="K76" i="13"/>
  <c r="I76" i="13"/>
  <c r="H76" i="13"/>
  <c r="J76" i="13"/>
  <c r="N75" i="13"/>
  <c r="N72" i="13"/>
  <c r="M75" i="13"/>
  <c r="K75" i="13"/>
  <c r="K72" i="13"/>
  <c r="J75" i="13"/>
  <c r="L74" i="13"/>
  <c r="I74" i="13"/>
  <c r="H74" i="13"/>
  <c r="L73" i="13"/>
  <c r="H73" i="13"/>
  <c r="I73" i="13"/>
  <c r="M72" i="13"/>
  <c r="L72" i="13"/>
  <c r="N71" i="13"/>
  <c r="L71" i="13"/>
  <c r="M71" i="13"/>
  <c r="K71" i="13"/>
  <c r="J71" i="13"/>
  <c r="I71" i="13"/>
  <c r="H71" i="13"/>
  <c r="N70" i="13"/>
  <c r="M70" i="13"/>
  <c r="L70" i="13"/>
  <c r="K70" i="13"/>
  <c r="I70" i="13"/>
  <c r="H70" i="13"/>
  <c r="J70" i="13"/>
  <c r="N69" i="13"/>
  <c r="M69" i="13"/>
  <c r="L69" i="13"/>
  <c r="K69" i="13"/>
  <c r="J69" i="13"/>
  <c r="I69" i="13"/>
  <c r="L68" i="13"/>
  <c r="I68" i="13"/>
  <c r="H68" i="13"/>
  <c r="L67" i="13"/>
  <c r="I67" i="13"/>
  <c r="H67" i="13"/>
  <c r="N66" i="13"/>
  <c r="K66" i="13"/>
  <c r="J66" i="13"/>
  <c r="I66" i="13"/>
  <c r="N65" i="13"/>
  <c r="M65" i="13"/>
  <c r="L65" i="13"/>
  <c r="K65" i="13"/>
  <c r="J65" i="13"/>
  <c r="I65" i="13"/>
  <c r="H65" i="13"/>
  <c r="N64" i="13"/>
  <c r="M64" i="13"/>
  <c r="L64" i="13"/>
  <c r="K64" i="13"/>
  <c r="I64" i="13"/>
  <c r="H64" i="13"/>
  <c r="J64" i="13"/>
  <c r="N63" i="13"/>
  <c r="N60" i="13"/>
  <c r="M63" i="13"/>
  <c r="K63" i="13"/>
  <c r="J63" i="13"/>
  <c r="L62" i="13"/>
  <c r="I62" i="13"/>
  <c r="H62" i="13"/>
  <c r="L61" i="13"/>
  <c r="I61" i="13"/>
  <c r="H61" i="13"/>
  <c r="M60" i="13"/>
  <c r="L60" i="13"/>
  <c r="K60" i="13"/>
  <c r="N59" i="13"/>
  <c r="L59" i="13"/>
  <c r="H59" i="13"/>
  <c r="M59" i="13"/>
  <c r="K59" i="13"/>
  <c r="K43" i="13"/>
  <c r="K39" i="13"/>
  <c r="J59" i="13"/>
  <c r="I59" i="13"/>
  <c r="N58" i="13"/>
  <c r="M58" i="13"/>
  <c r="L58" i="13"/>
  <c r="K58" i="13"/>
  <c r="K42" i="13"/>
  <c r="K38" i="13"/>
  <c r="J58" i="13"/>
  <c r="I58" i="13"/>
  <c r="H58" i="13"/>
  <c r="N57" i="13"/>
  <c r="M57" i="13"/>
  <c r="L57" i="13"/>
  <c r="K57" i="13"/>
  <c r="J57" i="13"/>
  <c r="I57" i="13"/>
  <c r="H57" i="13"/>
  <c r="L56" i="13"/>
  <c r="I56" i="13"/>
  <c r="H56" i="13"/>
  <c r="L55" i="13"/>
  <c r="H55" i="13"/>
  <c r="I55" i="13"/>
  <c r="N54" i="13"/>
  <c r="M54" i="13"/>
  <c r="L54" i="13"/>
  <c r="K54" i="13"/>
  <c r="J54" i="13"/>
  <c r="I54" i="13"/>
  <c r="L53" i="13"/>
  <c r="H53" i="13"/>
  <c r="I53" i="13"/>
  <c r="L52" i="13"/>
  <c r="I52" i="13"/>
  <c r="H52" i="13"/>
  <c r="N51" i="13"/>
  <c r="M51" i="13"/>
  <c r="L51" i="13"/>
  <c r="K51" i="13"/>
  <c r="J51" i="13"/>
  <c r="L50" i="13"/>
  <c r="I50" i="13"/>
  <c r="L49" i="13"/>
  <c r="I49" i="13"/>
  <c r="H49" i="13"/>
  <c r="K48" i="13"/>
  <c r="N47" i="13"/>
  <c r="M47" i="13"/>
  <c r="L47" i="13"/>
  <c r="K47" i="13"/>
  <c r="J47" i="13"/>
  <c r="N46" i="13"/>
  <c r="M46" i="13"/>
  <c r="K46" i="13"/>
  <c r="J46" i="13"/>
  <c r="I46" i="13"/>
  <c r="N42" i="13"/>
  <c r="N38" i="13"/>
  <c r="N36" i="13"/>
  <c r="M36" i="13"/>
  <c r="L36" i="13"/>
  <c r="K36" i="13"/>
  <c r="J36" i="13"/>
  <c r="L35" i="13"/>
  <c r="I35" i="13"/>
  <c r="H35" i="13"/>
  <c r="L34" i="13"/>
  <c r="I34" i="13"/>
  <c r="H34" i="13"/>
  <c r="N33" i="13"/>
  <c r="M33" i="13"/>
  <c r="L33" i="13"/>
  <c r="K33" i="13"/>
  <c r="I33" i="13"/>
  <c r="H33" i="13"/>
  <c r="J33" i="13"/>
  <c r="L32" i="13"/>
  <c r="H32" i="13"/>
  <c r="I32" i="13"/>
  <c r="L31" i="13"/>
  <c r="I31" i="13"/>
  <c r="H31" i="13"/>
  <c r="N30" i="13"/>
  <c r="L30" i="13"/>
  <c r="M30" i="13"/>
  <c r="K30" i="13"/>
  <c r="J30" i="13"/>
  <c r="I30" i="13"/>
  <c r="L29" i="13"/>
  <c r="I29" i="13"/>
  <c r="H29" i="13"/>
  <c r="L28" i="13"/>
  <c r="I28" i="13"/>
  <c r="H28" i="13"/>
  <c r="N27" i="13"/>
  <c r="M27" i="13"/>
  <c r="L27" i="13"/>
  <c r="K27" i="13"/>
  <c r="J27" i="13"/>
  <c r="I27" i="13"/>
  <c r="H27" i="13"/>
  <c r="L26" i="13"/>
  <c r="I26" i="13"/>
  <c r="H26" i="13"/>
  <c r="L25" i="13"/>
  <c r="I25" i="13"/>
  <c r="H25" i="13"/>
  <c r="N24" i="13"/>
  <c r="L24" i="13"/>
  <c r="M24" i="13"/>
  <c r="K24" i="13"/>
  <c r="J24" i="13"/>
  <c r="I24" i="13"/>
  <c r="H24" i="13"/>
  <c r="L23" i="13"/>
  <c r="I23" i="13"/>
  <c r="H23" i="13"/>
  <c r="L22" i="13"/>
  <c r="H22" i="13"/>
  <c r="I22" i="13"/>
  <c r="N21" i="13"/>
  <c r="M21" i="13"/>
  <c r="L21" i="13"/>
  <c r="K21" i="13"/>
  <c r="J21" i="13"/>
  <c r="I21" i="13"/>
  <c r="L20" i="13"/>
  <c r="I20" i="13"/>
  <c r="H20" i="13"/>
  <c r="L19" i="13"/>
  <c r="I19" i="13"/>
  <c r="H19" i="13"/>
  <c r="M17" i="13"/>
  <c r="N16" i="13"/>
  <c r="M16" i="13"/>
  <c r="L16" i="13"/>
  <c r="K16" i="13"/>
  <c r="I16" i="13"/>
  <c r="H16" i="13"/>
  <c r="J16" i="13"/>
  <c r="N15" i="13"/>
  <c r="L15" i="13"/>
  <c r="M15" i="13"/>
  <c r="K15" i="13"/>
  <c r="J15" i="13"/>
  <c r="I15" i="13"/>
  <c r="H15" i="13"/>
  <c r="H152" i="12"/>
  <c r="G152" i="12"/>
  <c r="V151" i="12"/>
  <c r="U151" i="12"/>
  <c r="H151" i="12"/>
  <c r="G151" i="12"/>
  <c r="V150" i="12"/>
  <c r="U150" i="12"/>
  <c r="S150" i="12"/>
  <c r="R150" i="12"/>
  <c r="R151" i="12"/>
  <c r="P150" i="12"/>
  <c r="O150" i="12"/>
  <c r="N150" i="12"/>
  <c r="L150" i="12"/>
  <c r="K150" i="12"/>
  <c r="H150" i="12"/>
  <c r="G150" i="12"/>
  <c r="H149" i="12"/>
  <c r="G149" i="12"/>
  <c r="V148" i="12"/>
  <c r="U148" i="12"/>
  <c r="T148" i="12"/>
  <c r="S148" i="12"/>
  <c r="S151" i="12"/>
  <c r="R148" i="12"/>
  <c r="P148" i="12"/>
  <c r="P151" i="12"/>
  <c r="O148" i="12"/>
  <c r="O151" i="12"/>
  <c r="L148" i="12"/>
  <c r="L151" i="12"/>
  <c r="K148" i="12"/>
  <c r="K151" i="12"/>
  <c r="V146" i="12"/>
  <c r="U146" i="12"/>
  <c r="T146" i="12"/>
  <c r="S146" i="12"/>
  <c r="R146" i="12"/>
  <c r="P146" i="12"/>
  <c r="O146" i="12"/>
  <c r="L146" i="12"/>
  <c r="K146" i="12"/>
  <c r="T145" i="12"/>
  <c r="Q145" i="12"/>
  <c r="M145" i="12"/>
  <c r="I145" i="12"/>
  <c r="N145" i="12"/>
  <c r="J145" i="12"/>
  <c r="T143" i="12"/>
  <c r="Q143" i="12"/>
  <c r="Q146" i="12"/>
  <c r="N143" i="12"/>
  <c r="N146" i="12"/>
  <c r="M143" i="12"/>
  <c r="J143" i="12"/>
  <c r="J146" i="12"/>
  <c r="H143" i="12"/>
  <c r="G143" i="12"/>
  <c r="V141" i="12"/>
  <c r="U141" i="12"/>
  <c r="T141" i="12"/>
  <c r="S141" i="12"/>
  <c r="R141" i="12"/>
  <c r="P141" i="12"/>
  <c r="O141" i="12"/>
  <c r="L141" i="12"/>
  <c r="K141" i="12"/>
  <c r="T140" i="12"/>
  <c r="Q140" i="12"/>
  <c r="M140" i="12"/>
  <c r="I140" i="12"/>
  <c r="N140" i="12"/>
  <c r="J140" i="12"/>
  <c r="T138" i="12"/>
  <c r="Q138" i="12"/>
  <c r="N138" i="12"/>
  <c r="N141" i="12"/>
  <c r="M138" i="12"/>
  <c r="J138" i="12"/>
  <c r="J141" i="12"/>
  <c r="H138" i="12"/>
  <c r="G138" i="12"/>
  <c r="V136" i="12"/>
  <c r="U136" i="12"/>
  <c r="S136" i="12"/>
  <c r="R136" i="12"/>
  <c r="P136" i="12"/>
  <c r="O136" i="12"/>
  <c r="L136" i="12"/>
  <c r="K136" i="12"/>
  <c r="T135" i="12"/>
  <c r="T136" i="12"/>
  <c r="Q135" i="12"/>
  <c r="N135" i="12"/>
  <c r="J135" i="12"/>
  <c r="T133" i="12"/>
  <c r="Q133" i="12"/>
  <c r="Q136" i="12"/>
  <c r="N133" i="12"/>
  <c r="N136" i="12"/>
  <c r="M133" i="12"/>
  <c r="J133" i="12"/>
  <c r="H133" i="12"/>
  <c r="G133" i="12"/>
  <c r="V131" i="12"/>
  <c r="U131" i="12"/>
  <c r="T131" i="12"/>
  <c r="S131" i="12"/>
  <c r="R131" i="12"/>
  <c r="P131" i="12"/>
  <c r="O131" i="12"/>
  <c r="L131" i="12"/>
  <c r="K131" i="12"/>
  <c r="T130" i="12"/>
  <c r="Q130" i="12"/>
  <c r="M130" i="12"/>
  <c r="N130" i="12"/>
  <c r="J130" i="12"/>
  <c r="I130" i="12"/>
  <c r="T128" i="12"/>
  <c r="Q128" i="12"/>
  <c r="Q131" i="12"/>
  <c r="N128" i="12"/>
  <c r="J128" i="12"/>
  <c r="H128" i="12"/>
  <c r="G128" i="12"/>
  <c r="V126" i="12"/>
  <c r="U126" i="12"/>
  <c r="S126" i="12"/>
  <c r="R126" i="12"/>
  <c r="P126" i="12"/>
  <c r="O126" i="12"/>
  <c r="L126" i="12"/>
  <c r="K126" i="12"/>
  <c r="T125" i="12"/>
  <c r="Q125" i="12"/>
  <c r="N125" i="12"/>
  <c r="J125" i="12"/>
  <c r="T123" i="12"/>
  <c r="Q123" i="12"/>
  <c r="Q126" i="12"/>
  <c r="N123" i="12"/>
  <c r="J123" i="12"/>
  <c r="H123" i="12"/>
  <c r="G123" i="12"/>
  <c r="V121" i="12"/>
  <c r="U121" i="12"/>
  <c r="T121" i="12"/>
  <c r="S121" i="12"/>
  <c r="R121" i="12"/>
  <c r="P121" i="12"/>
  <c r="O121" i="12"/>
  <c r="L121" i="12"/>
  <c r="K121" i="12"/>
  <c r="T120" i="12"/>
  <c r="Q120" i="12"/>
  <c r="M120" i="12"/>
  <c r="I120" i="12"/>
  <c r="N120" i="12"/>
  <c r="J120" i="12"/>
  <c r="T118" i="12"/>
  <c r="Q118" i="12"/>
  <c r="N118" i="12"/>
  <c r="N121" i="12"/>
  <c r="M118" i="12"/>
  <c r="I118" i="12"/>
  <c r="J118" i="12"/>
  <c r="J121" i="12"/>
  <c r="H118" i="12"/>
  <c r="G118" i="12"/>
  <c r="V116" i="12"/>
  <c r="U116" i="12"/>
  <c r="S116" i="12"/>
  <c r="R116" i="12"/>
  <c r="P116" i="12"/>
  <c r="O116" i="12"/>
  <c r="L116" i="12"/>
  <c r="K116" i="12"/>
  <c r="T115" i="12"/>
  <c r="Q115" i="12"/>
  <c r="N115" i="12"/>
  <c r="J115" i="12"/>
  <c r="T113" i="12"/>
  <c r="Q113" i="12"/>
  <c r="Q116" i="12"/>
  <c r="N113" i="12"/>
  <c r="J113" i="12"/>
  <c r="H113" i="12"/>
  <c r="G113" i="12"/>
  <c r="V111" i="12"/>
  <c r="U111" i="12"/>
  <c r="T111" i="12"/>
  <c r="S111" i="12"/>
  <c r="R111" i="12"/>
  <c r="P111" i="12"/>
  <c r="O111" i="12"/>
  <c r="L111" i="12"/>
  <c r="K111" i="12"/>
  <c r="T110" i="12"/>
  <c r="Q110" i="12"/>
  <c r="M110" i="12"/>
  <c r="I110" i="12"/>
  <c r="N110" i="12"/>
  <c r="J110" i="12"/>
  <c r="T108" i="12"/>
  <c r="Q108" i="12"/>
  <c r="N108" i="12"/>
  <c r="N111" i="12"/>
  <c r="M108" i="12"/>
  <c r="I108" i="12"/>
  <c r="J108" i="12"/>
  <c r="J111" i="12"/>
  <c r="H108" i="12"/>
  <c r="G108" i="12"/>
  <c r="V106" i="12"/>
  <c r="U106" i="12"/>
  <c r="S106" i="12"/>
  <c r="R106" i="12"/>
  <c r="P106" i="12"/>
  <c r="O106" i="12"/>
  <c r="L106" i="12"/>
  <c r="K106" i="12"/>
  <c r="T105" i="12"/>
  <c r="Q105" i="12"/>
  <c r="N105" i="12"/>
  <c r="J105" i="12"/>
  <c r="T103" i="12"/>
  <c r="Q103" i="12"/>
  <c r="Q106" i="12"/>
  <c r="N103" i="12"/>
  <c r="J103" i="12"/>
  <c r="H103" i="12"/>
  <c r="G103" i="12"/>
  <c r="V101" i="12"/>
  <c r="U101" i="12"/>
  <c r="T101" i="12"/>
  <c r="S101" i="12"/>
  <c r="R101" i="12"/>
  <c r="P101" i="12"/>
  <c r="O101" i="12"/>
  <c r="L101" i="12"/>
  <c r="K101" i="12"/>
  <c r="T100" i="12"/>
  <c r="Q100" i="12"/>
  <c r="M100" i="12"/>
  <c r="I100" i="12"/>
  <c r="N100" i="12"/>
  <c r="J100" i="12"/>
  <c r="T98" i="12"/>
  <c r="Q98" i="12"/>
  <c r="N98" i="12"/>
  <c r="N101" i="12"/>
  <c r="M98" i="12"/>
  <c r="I98" i="12"/>
  <c r="I101" i="12"/>
  <c r="J98" i="12"/>
  <c r="J101" i="12"/>
  <c r="H98" i="12"/>
  <c r="G98" i="12"/>
  <c r="V96" i="12"/>
  <c r="U96" i="12"/>
  <c r="S96" i="12"/>
  <c r="R96" i="12"/>
  <c r="P96" i="12"/>
  <c r="O96" i="12"/>
  <c r="L96" i="12"/>
  <c r="K96" i="12"/>
  <c r="T95" i="12"/>
  <c r="Q95" i="12"/>
  <c r="N95" i="12"/>
  <c r="J95" i="12"/>
  <c r="T93" i="12"/>
  <c r="Q93" i="12"/>
  <c r="Q96" i="12"/>
  <c r="N93" i="12"/>
  <c r="J93" i="12"/>
  <c r="H93" i="12"/>
  <c r="G93" i="12"/>
  <c r="V91" i="12"/>
  <c r="U91" i="12"/>
  <c r="T91" i="12"/>
  <c r="S91" i="12"/>
  <c r="R91" i="12"/>
  <c r="P91" i="12"/>
  <c r="O91" i="12"/>
  <c r="L91" i="12"/>
  <c r="K91" i="12"/>
  <c r="T90" i="12"/>
  <c r="Q90" i="12"/>
  <c r="M90" i="12"/>
  <c r="I90" i="12"/>
  <c r="N90" i="12"/>
  <c r="J90" i="12"/>
  <c r="T88" i="12"/>
  <c r="Q88" i="12"/>
  <c r="N88" i="12"/>
  <c r="N91" i="12"/>
  <c r="M88" i="12"/>
  <c r="I88" i="12"/>
  <c r="I91" i="12"/>
  <c r="J88" i="12"/>
  <c r="J91" i="12"/>
  <c r="H88" i="12"/>
  <c r="G88" i="12"/>
  <c r="V86" i="12"/>
  <c r="U86" i="12"/>
  <c r="S86" i="12"/>
  <c r="R86" i="12"/>
  <c r="P86" i="12"/>
  <c r="O86" i="12"/>
  <c r="L86" i="12"/>
  <c r="K86" i="12"/>
  <c r="T85" i="12"/>
  <c r="Q85" i="12"/>
  <c r="N85" i="12"/>
  <c r="J85" i="12"/>
  <c r="T83" i="12"/>
  <c r="Q83" i="12"/>
  <c r="Q86" i="12"/>
  <c r="N83" i="12"/>
  <c r="J83" i="12"/>
  <c r="H83" i="12"/>
  <c r="G83" i="12"/>
  <c r="V81" i="12"/>
  <c r="U81" i="12"/>
  <c r="T81" i="12"/>
  <c r="S81" i="12"/>
  <c r="R81" i="12"/>
  <c r="P81" i="12"/>
  <c r="O81" i="12"/>
  <c r="L81" i="12"/>
  <c r="K81" i="12"/>
  <c r="T80" i="12"/>
  <c r="Q80" i="12"/>
  <c r="M80" i="12"/>
  <c r="I80" i="12"/>
  <c r="N80" i="12"/>
  <c r="J80" i="12"/>
  <c r="T78" i="12"/>
  <c r="Q78" i="12"/>
  <c r="N78" i="12"/>
  <c r="N81" i="12"/>
  <c r="M78" i="12"/>
  <c r="I78" i="12"/>
  <c r="J78" i="12"/>
  <c r="J81" i="12"/>
  <c r="H78" i="12"/>
  <c r="G78" i="12"/>
  <c r="V76" i="12"/>
  <c r="U76" i="12"/>
  <c r="S76" i="12"/>
  <c r="R76" i="12"/>
  <c r="P76" i="12"/>
  <c r="O76" i="12"/>
  <c r="L76" i="12"/>
  <c r="K76" i="12"/>
  <c r="T75" i="12"/>
  <c r="Q75" i="12"/>
  <c r="N75" i="12"/>
  <c r="J75" i="12"/>
  <c r="T73" i="12"/>
  <c r="Q73" i="12"/>
  <c r="Q76" i="12"/>
  <c r="N73" i="12"/>
  <c r="J73" i="12"/>
  <c r="H73" i="12"/>
  <c r="G73" i="12"/>
  <c r="V71" i="12"/>
  <c r="U71" i="12"/>
  <c r="T71" i="12"/>
  <c r="S71" i="12"/>
  <c r="R71" i="12"/>
  <c r="P71" i="12"/>
  <c r="O71" i="12"/>
  <c r="L71" i="12"/>
  <c r="K71" i="12"/>
  <c r="T70" i="12"/>
  <c r="Q70" i="12"/>
  <c r="M70" i="12"/>
  <c r="I70" i="12"/>
  <c r="N70" i="12"/>
  <c r="J70" i="12"/>
  <c r="T68" i="12"/>
  <c r="Q68" i="12"/>
  <c r="N68" i="12"/>
  <c r="N71" i="12"/>
  <c r="M68" i="12"/>
  <c r="I68" i="12"/>
  <c r="J68" i="12"/>
  <c r="J71" i="12"/>
  <c r="H68" i="12"/>
  <c r="G68" i="12"/>
  <c r="V66" i="12"/>
  <c r="U66" i="12"/>
  <c r="S66" i="12"/>
  <c r="R66" i="12"/>
  <c r="P66" i="12"/>
  <c r="O66" i="12"/>
  <c r="L66" i="12"/>
  <c r="K66" i="12"/>
  <c r="T65" i="12"/>
  <c r="Q65" i="12"/>
  <c r="N65" i="12"/>
  <c r="J65" i="12"/>
  <c r="T63" i="12"/>
  <c r="Q63" i="12"/>
  <c r="Q66" i="12"/>
  <c r="N63" i="12"/>
  <c r="J63" i="12"/>
  <c r="H63" i="12"/>
  <c r="G63" i="12"/>
  <c r="V61" i="12"/>
  <c r="U61" i="12"/>
  <c r="T61" i="12"/>
  <c r="S61" i="12"/>
  <c r="R61" i="12"/>
  <c r="P61" i="12"/>
  <c r="O61" i="12"/>
  <c r="L61" i="12"/>
  <c r="K61" i="12"/>
  <c r="T60" i="12"/>
  <c r="Q60" i="12"/>
  <c r="M60" i="12"/>
  <c r="I60" i="12"/>
  <c r="N60" i="12"/>
  <c r="J60" i="12"/>
  <c r="T58" i="12"/>
  <c r="Q58" i="12"/>
  <c r="N58" i="12"/>
  <c r="N61" i="12"/>
  <c r="M58" i="12"/>
  <c r="I58" i="12"/>
  <c r="I61" i="12"/>
  <c r="J58" i="12"/>
  <c r="J61" i="12"/>
  <c r="H58" i="12"/>
  <c r="G58" i="12"/>
  <c r="V56" i="12"/>
  <c r="U56" i="12"/>
  <c r="S56" i="12"/>
  <c r="R56" i="12"/>
  <c r="P56" i="12"/>
  <c r="O56" i="12"/>
  <c r="L56" i="12"/>
  <c r="K56" i="12"/>
  <c r="T55" i="12"/>
  <c r="Q55" i="12"/>
  <c r="N55" i="12"/>
  <c r="J55" i="12"/>
  <c r="T53" i="12"/>
  <c r="Q53" i="12"/>
  <c r="Q56" i="12"/>
  <c r="N53" i="12"/>
  <c r="J53" i="12"/>
  <c r="H53" i="12"/>
  <c r="G53" i="12"/>
  <c r="V51" i="12"/>
  <c r="U51" i="12"/>
  <c r="T51" i="12"/>
  <c r="S51" i="12"/>
  <c r="R51" i="12"/>
  <c r="P51" i="12"/>
  <c r="O51" i="12"/>
  <c r="L51" i="12"/>
  <c r="K51" i="12"/>
  <c r="T50" i="12"/>
  <c r="Q50" i="12"/>
  <c r="M50" i="12"/>
  <c r="I50" i="12"/>
  <c r="N50" i="12"/>
  <c r="J50" i="12"/>
  <c r="T48" i="12"/>
  <c r="Q48" i="12"/>
  <c r="N48" i="12"/>
  <c r="N51" i="12"/>
  <c r="M48" i="12"/>
  <c r="I48" i="12"/>
  <c r="I51" i="12"/>
  <c r="J48" i="12"/>
  <c r="J51" i="12"/>
  <c r="H48" i="12"/>
  <c r="G48" i="12"/>
  <c r="V46" i="12"/>
  <c r="U46" i="12"/>
  <c r="S46" i="12"/>
  <c r="R46" i="12"/>
  <c r="P46" i="12"/>
  <c r="O46" i="12"/>
  <c r="L46" i="12"/>
  <c r="K46" i="12"/>
  <c r="T45" i="12"/>
  <c r="Q45" i="12"/>
  <c r="N45" i="12"/>
  <c r="J45" i="12"/>
  <c r="T43" i="12"/>
  <c r="Q43" i="12"/>
  <c r="Q46" i="12"/>
  <c r="N43" i="12"/>
  <c r="J43" i="12"/>
  <c r="H43" i="12"/>
  <c r="G43" i="12"/>
  <c r="V41" i="12"/>
  <c r="U41" i="12"/>
  <c r="T41" i="12"/>
  <c r="S41" i="12"/>
  <c r="R41" i="12"/>
  <c r="P41" i="12"/>
  <c r="O41" i="12"/>
  <c r="L41" i="12"/>
  <c r="K41" i="12"/>
  <c r="T40" i="12"/>
  <c r="Q40" i="12"/>
  <c r="M40" i="12"/>
  <c r="I40" i="12"/>
  <c r="N40" i="12"/>
  <c r="J40" i="12"/>
  <c r="T38" i="12"/>
  <c r="Q38" i="12"/>
  <c r="N38" i="12"/>
  <c r="N41" i="12"/>
  <c r="M38" i="12"/>
  <c r="I38" i="12"/>
  <c r="J38" i="12"/>
  <c r="J41" i="12"/>
  <c r="H38" i="12"/>
  <c r="G38" i="12"/>
  <c r="V36" i="12"/>
  <c r="U36" i="12"/>
  <c r="S36" i="12"/>
  <c r="R36" i="12"/>
  <c r="P36" i="12"/>
  <c r="O36" i="12"/>
  <c r="L36" i="12"/>
  <c r="K36" i="12"/>
  <c r="T35" i="12"/>
  <c r="Q35" i="12"/>
  <c r="N35" i="12"/>
  <c r="J35" i="12"/>
  <c r="T33" i="12"/>
  <c r="Q33" i="12"/>
  <c r="Q36" i="12"/>
  <c r="N33" i="12"/>
  <c r="J33" i="12"/>
  <c r="H33" i="12"/>
  <c r="G33" i="12"/>
  <c r="V31" i="12"/>
  <c r="U31" i="12"/>
  <c r="T31" i="12"/>
  <c r="S31" i="12"/>
  <c r="R31" i="12"/>
  <c r="P31" i="12"/>
  <c r="O31" i="12"/>
  <c r="L31" i="12"/>
  <c r="K31" i="12"/>
  <c r="T30" i="12"/>
  <c r="Q30" i="12"/>
  <c r="M30" i="12"/>
  <c r="I30" i="12"/>
  <c r="N30" i="12"/>
  <c r="J30" i="12"/>
  <c r="T28" i="12"/>
  <c r="Q28" i="12"/>
  <c r="N28" i="12"/>
  <c r="N31" i="12"/>
  <c r="M28" i="12"/>
  <c r="I28" i="12"/>
  <c r="J28" i="12"/>
  <c r="J31" i="12"/>
  <c r="H28" i="12"/>
  <c r="G28" i="12"/>
  <c r="V26" i="12"/>
  <c r="U26" i="12"/>
  <c r="S26" i="12"/>
  <c r="R26" i="12"/>
  <c r="P26" i="12"/>
  <c r="O26" i="12"/>
  <c r="L26" i="12"/>
  <c r="K26" i="12"/>
  <c r="T25" i="12"/>
  <c r="T26" i="12"/>
  <c r="Q25" i="12"/>
  <c r="N25" i="12"/>
  <c r="J25" i="12"/>
  <c r="T23" i="12"/>
  <c r="Q23" i="12"/>
  <c r="Q26" i="12"/>
  <c r="N23" i="12"/>
  <c r="J23" i="12"/>
  <c r="H23" i="12"/>
  <c r="G23" i="12"/>
  <c r="V21" i="12"/>
  <c r="U21" i="12"/>
  <c r="T21" i="12"/>
  <c r="S21" i="12"/>
  <c r="R21" i="12"/>
  <c r="Q21" i="12"/>
  <c r="P21" i="12"/>
  <c r="O21" i="12"/>
  <c r="L21" i="12"/>
  <c r="K21" i="12"/>
  <c r="T20" i="12"/>
  <c r="Q20" i="12"/>
  <c r="N20" i="12"/>
  <c r="J20" i="12"/>
  <c r="T18" i="12"/>
  <c r="Q18" i="12"/>
  <c r="N18" i="12"/>
  <c r="M18" i="12"/>
  <c r="J18" i="12"/>
  <c r="J148" i="12"/>
  <c r="H18" i="12"/>
  <c r="G18" i="12"/>
  <c r="G148" i="12"/>
  <c r="H373" i="13"/>
  <c r="H81" i="13"/>
  <c r="H155" i="13"/>
  <c r="L182" i="13"/>
  <c r="H187" i="13"/>
  <c r="H281" i="13"/>
  <c r="H344" i="13"/>
  <c r="H458" i="13"/>
  <c r="K12" i="13"/>
  <c r="K746" i="13"/>
  <c r="H69" i="13"/>
  <c r="H113" i="13"/>
  <c r="I135" i="13"/>
  <c r="J132" i="13"/>
  <c r="I132" i="13"/>
  <c r="I147" i="13"/>
  <c r="J144" i="13"/>
  <c r="I144" i="13"/>
  <c r="H221" i="13"/>
  <c r="H230" i="13"/>
  <c r="H338" i="13"/>
  <c r="H452" i="13"/>
  <c r="H563" i="13"/>
  <c r="H623" i="13"/>
  <c r="H707" i="13"/>
  <c r="H425" i="13"/>
  <c r="H112" i="13"/>
  <c r="H131" i="13"/>
  <c r="H536" i="13"/>
  <c r="H569" i="13"/>
  <c r="H21" i="13"/>
  <c r="H30" i="13"/>
  <c r="L84" i="13"/>
  <c r="H91" i="13"/>
  <c r="I75" i="13"/>
  <c r="J72" i="13"/>
  <c r="I72" i="13"/>
  <c r="H72" i="13"/>
  <c r="H138" i="13"/>
  <c r="I159" i="13"/>
  <c r="J156" i="13"/>
  <c r="I156" i="13"/>
  <c r="H156" i="13"/>
  <c r="H174" i="13"/>
  <c r="K248" i="13"/>
  <c r="I248" i="13"/>
  <c r="H248" i="13"/>
  <c r="K308" i="13"/>
  <c r="I308" i="13"/>
  <c r="H308" i="13"/>
  <c r="I370" i="13"/>
  <c r="J366" i="13"/>
  <c r="I366" i="13"/>
  <c r="H521" i="13"/>
  <c r="H593" i="13"/>
  <c r="N17" i="13"/>
  <c r="L17" i="13"/>
  <c r="J42" i="13"/>
  <c r="H54" i="13"/>
  <c r="I63" i="13"/>
  <c r="J60" i="13"/>
  <c r="I60" i="13"/>
  <c r="H60" i="13"/>
  <c r="H82" i="13"/>
  <c r="I95" i="13"/>
  <c r="H95" i="13"/>
  <c r="J92" i="13"/>
  <c r="I92" i="13"/>
  <c r="H92" i="13"/>
  <c r="I99" i="13"/>
  <c r="J96" i="13"/>
  <c r="N96" i="13"/>
  <c r="H114" i="13"/>
  <c r="I123" i="13"/>
  <c r="J120" i="13"/>
  <c r="I120" i="13"/>
  <c r="H120" i="13"/>
  <c r="M183" i="13"/>
  <c r="L183" i="13"/>
  <c r="L188" i="13"/>
  <c r="H188" i="13"/>
  <c r="H203" i="13"/>
  <c r="H269" i="13"/>
  <c r="H320" i="13"/>
  <c r="H376" i="13"/>
  <c r="I384" i="13"/>
  <c r="H384" i="13"/>
  <c r="J380" i="13"/>
  <c r="I380" i="13"/>
  <c r="H380" i="13"/>
  <c r="K388" i="13"/>
  <c r="I388" i="13"/>
  <c r="H388" i="13"/>
  <c r="N388" i="13"/>
  <c r="H413" i="13"/>
  <c r="H428" i="13"/>
  <c r="H434" i="13"/>
  <c r="H449" i="13"/>
  <c r="H527" i="13"/>
  <c r="H575" i="13"/>
  <c r="H641" i="13"/>
  <c r="H659" i="13"/>
  <c r="H665" i="13"/>
  <c r="H704" i="13"/>
  <c r="J17" i="13"/>
  <c r="K17" i="13"/>
  <c r="I47" i="13"/>
  <c r="H47" i="13"/>
  <c r="N43" i="13"/>
  <c r="N39" i="13"/>
  <c r="N12" i="13"/>
  <c r="N746" i="13"/>
  <c r="I51" i="13"/>
  <c r="H51" i="13"/>
  <c r="J48" i="13"/>
  <c r="N48" i="13"/>
  <c r="L75" i="13"/>
  <c r="L78" i="13"/>
  <c r="H78" i="13"/>
  <c r="L81" i="13"/>
  <c r="L94" i="13"/>
  <c r="H94" i="13"/>
  <c r="M91" i="13"/>
  <c r="L91" i="13"/>
  <c r="I108" i="13"/>
  <c r="H108" i="13"/>
  <c r="L159" i="13"/>
  <c r="N165" i="13"/>
  <c r="L165" i="13"/>
  <c r="I180" i="13"/>
  <c r="H180" i="13"/>
  <c r="J195" i="13"/>
  <c r="I195" i="13"/>
  <c r="H195" i="13"/>
  <c r="I200" i="13"/>
  <c r="H200" i="13"/>
  <c r="J196" i="13"/>
  <c r="N196" i="13"/>
  <c r="N184" i="13"/>
  <c r="K275" i="13"/>
  <c r="I275" i="13"/>
  <c r="H275" i="13"/>
  <c r="H364" i="13"/>
  <c r="M366" i="13"/>
  <c r="M388" i="13"/>
  <c r="L388" i="13"/>
  <c r="H461" i="13"/>
  <c r="H476" i="13"/>
  <c r="H482" i="13"/>
  <c r="H533" i="13"/>
  <c r="H572" i="13"/>
  <c r="H635" i="13"/>
  <c r="H668" i="13"/>
  <c r="H734" i="13"/>
  <c r="H740" i="13"/>
  <c r="I36" i="13"/>
  <c r="H36" i="13"/>
  <c r="L46" i="13"/>
  <c r="H46" i="13"/>
  <c r="M48" i="13"/>
  <c r="H50" i="13"/>
  <c r="L63" i="13"/>
  <c r="M66" i="13"/>
  <c r="L66" i="13"/>
  <c r="H66" i="13"/>
  <c r="I83" i="13"/>
  <c r="H83" i="13"/>
  <c r="I87" i="13"/>
  <c r="H87" i="13"/>
  <c r="J84" i="13"/>
  <c r="I84" i="13"/>
  <c r="H84" i="13"/>
  <c r="N84" i="13"/>
  <c r="L95" i="13"/>
  <c r="L99" i="13"/>
  <c r="L102" i="13"/>
  <c r="H102" i="13"/>
  <c r="H110" i="13"/>
  <c r="L123" i="13"/>
  <c r="M126" i="13"/>
  <c r="L126" i="13"/>
  <c r="H126" i="13"/>
  <c r="L134" i="13"/>
  <c r="H134" i="13"/>
  <c r="M131" i="13"/>
  <c r="L131" i="13"/>
  <c r="L138" i="13"/>
  <c r="M135" i="13"/>
  <c r="L146" i="13"/>
  <c r="H146" i="13"/>
  <c r="M143" i="13"/>
  <c r="L143" i="13"/>
  <c r="H143" i="13"/>
  <c r="L150" i="13"/>
  <c r="H150" i="13"/>
  <c r="M147" i="13"/>
  <c r="J165" i="13"/>
  <c r="I165" i="13"/>
  <c r="H165" i="13"/>
  <c r="H166" i="13"/>
  <c r="K165" i="13"/>
  <c r="K44" i="13"/>
  <c r="K40" i="13"/>
  <c r="L174" i="13"/>
  <c r="K182" i="13"/>
  <c r="K11" i="13"/>
  <c r="K745" i="13"/>
  <c r="L194" i="13"/>
  <c r="H194" i="13"/>
  <c r="K195" i="13"/>
  <c r="K183" i="13"/>
  <c r="M196" i="13"/>
  <c r="L196" i="13"/>
  <c r="H199" i="13"/>
  <c r="H207" i="13"/>
  <c r="L215" i="13"/>
  <c r="H215" i="13"/>
  <c r="I236" i="13"/>
  <c r="H236" i="13"/>
  <c r="I254" i="13"/>
  <c r="H254" i="13"/>
  <c r="H265" i="13"/>
  <c r="H273" i="13"/>
  <c r="L278" i="13"/>
  <c r="H278" i="13"/>
  <c r="I299" i="13"/>
  <c r="H299" i="13"/>
  <c r="H316" i="13"/>
  <c r="H324" i="13"/>
  <c r="L332" i="13"/>
  <c r="H332" i="13"/>
  <c r="L359" i="13"/>
  <c r="H359" i="13"/>
  <c r="I365" i="13"/>
  <c r="H365" i="13"/>
  <c r="H368" i="13"/>
  <c r="N366" i="13"/>
  <c r="L370" i="13"/>
  <c r="I379" i="13"/>
  <c r="H379" i="13"/>
  <c r="H383" i="13"/>
  <c r="L384" i="13"/>
  <c r="L392" i="13"/>
  <c r="H392" i="13"/>
  <c r="H397" i="13"/>
  <c r="L401" i="13"/>
  <c r="H401" i="13"/>
  <c r="H420" i="13"/>
  <c r="H433" i="13"/>
  <c r="H441" i="13"/>
  <c r="H448" i="13"/>
  <c r="H501" i="13"/>
  <c r="I530" i="13"/>
  <c r="H530" i="13"/>
  <c r="H560" i="13"/>
  <c r="H578" i="13"/>
  <c r="L620" i="13"/>
  <c r="H620" i="13"/>
  <c r="I644" i="13"/>
  <c r="H644" i="13"/>
  <c r="H650" i="13"/>
  <c r="H656" i="13"/>
  <c r="H675" i="13"/>
  <c r="H683" i="13"/>
  <c r="H689" i="13"/>
  <c r="H703" i="13"/>
  <c r="H723" i="13"/>
  <c r="H743" i="13"/>
  <c r="H355" i="13"/>
  <c r="L373" i="13"/>
  <c r="I398" i="13"/>
  <c r="H398" i="13"/>
  <c r="H409" i="13"/>
  <c r="H417" i="13"/>
  <c r="L425" i="13"/>
  <c r="I446" i="13"/>
  <c r="H446" i="13"/>
  <c r="H457" i="13"/>
  <c r="H465" i="13"/>
  <c r="L473" i="13"/>
  <c r="H473" i="13"/>
  <c r="I494" i="13"/>
  <c r="H494" i="13"/>
  <c r="H505" i="13"/>
  <c r="H513" i="13"/>
  <c r="L521" i="13"/>
  <c r="I542" i="13"/>
  <c r="H542" i="13"/>
  <c r="H553" i="13"/>
  <c r="L572" i="13"/>
  <c r="I581" i="13"/>
  <c r="H581" i="13"/>
  <c r="L587" i="13"/>
  <c r="H587" i="13"/>
  <c r="I596" i="13"/>
  <c r="H596" i="13"/>
  <c r="H604" i="13"/>
  <c r="L608" i="13"/>
  <c r="H608" i="13"/>
  <c r="H627" i="13"/>
  <c r="H640" i="13"/>
  <c r="H648" i="13"/>
  <c r="H655" i="13"/>
  <c r="H708" i="13"/>
  <c r="I737" i="13"/>
  <c r="H737" i="13"/>
  <c r="I557" i="13"/>
  <c r="H557" i="13"/>
  <c r="H568" i="13"/>
  <c r="H576" i="13"/>
  <c r="L584" i="13"/>
  <c r="H584" i="13"/>
  <c r="I605" i="13"/>
  <c r="H605" i="13"/>
  <c r="H616" i="13"/>
  <c r="H624" i="13"/>
  <c r="L632" i="13"/>
  <c r="H632" i="13"/>
  <c r="I653" i="13"/>
  <c r="H653" i="13"/>
  <c r="H664" i="13"/>
  <c r="H672" i="13"/>
  <c r="L680" i="13"/>
  <c r="H680" i="13"/>
  <c r="I701" i="13"/>
  <c r="H701" i="13"/>
  <c r="H712" i="13"/>
  <c r="H720" i="13"/>
  <c r="L728" i="13"/>
  <c r="H728" i="13"/>
  <c r="I18" i="12"/>
  <c r="M21" i="12"/>
  <c r="T46" i="12"/>
  <c r="M45" i="12"/>
  <c r="N66" i="12"/>
  <c r="M63" i="12"/>
  <c r="T86" i="12"/>
  <c r="M85" i="12"/>
  <c r="N106" i="12"/>
  <c r="M103" i="12"/>
  <c r="H148" i="12"/>
  <c r="T126" i="12"/>
  <c r="M125" i="12"/>
  <c r="I133" i="12"/>
  <c r="T36" i="12"/>
  <c r="M35" i="12"/>
  <c r="I45" i="12"/>
  <c r="N56" i="12"/>
  <c r="M53" i="12"/>
  <c r="T76" i="12"/>
  <c r="M75" i="12"/>
  <c r="I85" i="12"/>
  <c r="N96" i="12"/>
  <c r="M93" i="12"/>
  <c r="T116" i="12"/>
  <c r="M115" i="12"/>
  <c r="I125" i="12"/>
  <c r="N131" i="12"/>
  <c r="M128" i="12"/>
  <c r="I25" i="12"/>
  <c r="I35" i="12"/>
  <c r="I41" i="12"/>
  <c r="N46" i="12"/>
  <c r="M43" i="12"/>
  <c r="T66" i="12"/>
  <c r="M65" i="12"/>
  <c r="I75" i="12"/>
  <c r="I81" i="12"/>
  <c r="N86" i="12"/>
  <c r="M83" i="12"/>
  <c r="T106" i="12"/>
  <c r="M105" i="12"/>
  <c r="I105" i="12"/>
  <c r="I115" i="12"/>
  <c r="I121" i="12"/>
  <c r="N126" i="12"/>
  <c r="M123" i="12"/>
  <c r="J151" i="12"/>
  <c r="Q150" i="12"/>
  <c r="M20" i="12"/>
  <c r="N26" i="12"/>
  <c r="M23" i="12"/>
  <c r="M25" i="12"/>
  <c r="I31" i="12"/>
  <c r="N36" i="12"/>
  <c r="M33" i="12"/>
  <c r="T56" i="12"/>
  <c r="M55" i="12"/>
  <c r="I55" i="12"/>
  <c r="I65" i="12"/>
  <c r="I71" i="12"/>
  <c r="N76" i="12"/>
  <c r="M73" i="12"/>
  <c r="T96" i="12"/>
  <c r="M95" i="12"/>
  <c r="I95" i="12"/>
  <c r="I111" i="12"/>
  <c r="N116" i="12"/>
  <c r="M113" i="12"/>
  <c r="J150" i="12"/>
  <c r="Q31" i="12"/>
  <c r="Q41" i="12"/>
  <c r="Q51" i="12"/>
  <c r="Q61" i="12"/>
  <c r="Q71" i="12"/>
  <c r="Q81" i="12"/>
  <c r="Q91" i="12"/>
  <c r="Q101" i="12"/>
  <c r="Q111" i="12"/>
  <c r="Q121" i="12"/>
  <c r="M141" i="12"/>
  <c r="I138" i="12"/>
  <c r="I141" i="12"/>
  <c r="N148" i="12"/>
  <c r="N151" i="12"/>
  <c r="N21" i="12"/>
  <c r="T150" i="12"/>
  <c r="T151" i="12"/>
  <c r="J26" i="12"/>
  <c r="M31" i="12"/>
  <c r="J36" i="12"/>
  <c r="M41" i="12"/>
  <c r="J46" i="12"/>
  <c r="M51" i="12"/>
  <c r="J56" i="12"/>
  <c r="M61" i="12"/>
  <c r="J66" i="12"/>
  <c r="M71" i="12"/>
  <c r="J76" i="12"/>
  <c r="M81" i="12"/>
  <c r="J86" i="12"/>
  <c r="M91" i="12"/>
  <c r="J96" i="12"/>
  <c r="M101" i="12"/>
  <c r="J106" i="12"/>
  <c r="M111" i="12"/>
  <c r="J116" i="12"/>
  <c r="M121" i="12"/>
  <c r="J126" i="12"/>
  <c r="J131" i="12"/>
  <c r="M146" i="12"/>
  <c r="I143" i="12"/>
  <c r="I146" i="12"/>
  <c r="Q148" i="12"/>
  <c r="Q151" i="12"/>
  <c r="J136" i="12"/>
  <c r="M135" i="12"/>
  <c r="I135" i="12"/>
  <c r="Q141" i="12"/>
  <c r="J21" i="12"/>
  <c r="T544" i="11"/>
  <c r="V542" i="11"/>
  <c r="V545" i="11"/>
  <c r="V540" i="11"/>
  <c r="Q540" i="11"/>
  <c r="W539" i="11"/>
  <c r="V539" i="11"/>
  <c r="V544" i="11"/>
  <c r="T539" i="11"/>
  <c r="S539" i="11"/>
  <c r="S544" i="11"/>
  <c r="Q539" i="11"/>
  <c r="P539" i="11"/>
  <c r="M539" i="11"/>
  <c r="L539" i="11"/>
  <c r="W537" i="11"/>
  <c r="V537" i="11"/>
  <c r="T537" i="11"/>
  <c r="S537" i="11"/>
  <c r="Q537" i="11"/>
  <c r="Q542" i="11"/>
  <c r="P537" i="11"/>
  <c r="M537" i="11"/>
  <c r="L537" i="11"/>
  <c r="W535" i="11"/>
  <c r="V535" i="11"/>
  <c r="T535" i="11"/>
  <c r="S535" i="11"/>
  <c r="Q535" i="11"/>
  <c r="P535" i="11"/>
  <c r="O535" i="11"/>
  <c r="M535" i="11"/>
  <c r="L535" i="11"/>
  <c r="U534" i="11"/>
  <c r="R534" i="11"/>
  <c r="O534" i="11"/>
  <c r="K534" i="11"/>
  <c r="U532" i="11"/>
  <c r="R532" i="11"/>
  <c r="O532" i="11"/>
  <c r="K532" i="11"/>
  <c r="W530" i="11"/>
  <c r="V530" i="11"/>
  <c r="U530" i="11"/>
  <c r="T530" i="11"/>
  <c r="S530" i="11"/>
  <c r="Q530" i="11"/>
  <c r="P530" i="11"/>
  <c r="M530" i="11"/>
  <c r="L530" i="11"/>
  <c r="U529" i="11"/>
  <c r="R529" i="11"/>
  <c r="O529" i="11"/>
  <c r="N529" i="11"/>
  <c r="K529" i="11"/>
  <c r="U527" i="11"/>
  <c r="R527" i="11"/>
  <c r="R530" i="11"/>
  <c r="O527" i="11"/>
  <c r="K527" i="11"/>
  <c r="K530" i="11"/>
  <c r="W525" i="11"/>
  <c r="V525" i="11"/>
  <c r="T525" i="11"/>
  <c r="S525" i="11"/>
  <c r="Q525" i="11"/>
  <c r="P525" i="11"/>
  <c r="M525" i="11"/>
  <c r="L525" i="11"/>
  <c r="K525" i="11"/>
  <c r="U524" i="11"/>
  <c r="R524" i="11"/>
  <c r="O524" i="11"/>
  <c r="K524" i="11"/>
  <c r="U522" i="11"/>
  <c r="U525" i="11"/>
  <c r="R522" i="11"/>
  <c r="R525" i="11"/>
  <c r="O522" i="11"/>
  <c r="K522" i="11"/>
  <c r="W520" i="11"/>
  <c r="V520" i="11"/>
  <c r="T520" i="11"/>
  <c r="S520" i="11"/>
  <c r="R520" i="11"/>
  <c r="Q520" i="11"/>
  <c r="P520" i="11"/>
  <c r="M520" i="11"/>
  <c r="L520" i="11"/>
  <c r="U519" i="11"/>
  <c r="R519" i="11"/>
  <c r="O519" i="11"/>
  <c r="K519" i="11"/>
  <c r="U517" i="11"/>
  <c r="R517" i="11"/>
  <c r="O517" i="11"/>
  <c r="K517" i="11"/>
  <c r="K520" i="11"/>
  <c r="W515" i="11"/>
  <c r="V515" i="11"/>
  <c r="T515" i="11"/>
  <c r="S515" i="11"/>
  <c r="Q515" i="11"/>
  <c r="P515" i="11"/>
  <c r="O515" i="11"/>
  <c r="M515" i="11"/>
  <c r="L515" i="11"/>
  <c r="U514" i="11"/>
  <c r="R514" i="11"/>
  <c r="O514" i="11"/>
  <c r="K514" i="11"/>
  <c r="U512" i="11"/>
  <c r="U515" i="11"/>
  <c r="R512" i="11"/>
  <c r="O512" i="11"/>
  <c r="N512" i="11"/>
  <c r="K512" i="11"/>
  <c r="W510" i="11"/>
  <c r="V510" i="11"/>
  <c r="U510" i="11"/>
  <c r="T510" i="11"/>
  <c r="S510" i="11"/>
  <c r="Q510" i="11"/>
  <c r="P510" i="11"/>
  <c r="M510" i="11"/>
  <c r="L510" i="11"/>
  <c r="U509" i="11"/>
  <c r="R509" i="11"/>
  <c r="O509" i="11"/>
  <c r="N509" i="11"/>
  <c r="K509" i="11"/>
  <c r="U507" i="11"/>
  <c r="R507" i="11"/>
  <c r="R510" i="11"/>
  <c r="O507" i="11"/>
  <c r="K507" i="11"/>
  <c r="K510" i="11"/>
  <c r="W505" i="11"/>
  <c r="V505" i="11"/>
  <c r="T505" i="11"/>
  <c r="S505" i="11"/>
  <c r="Q505" i="11"/>
  <c r="P505" i="11"/>
  <c r="M505" i="11"/>
  <c r="L505" i="11"/>
  <c r="K505" i="11"/>
  <c r="U504" i="11"/>
  <c r="R504" i="11"/>
  <c r="O504" i="11"/>
  <c r="K504" i="11"/>
  <c r="U502" i="11"/>
  <c r="U505" i="11"/>
  <c r="R502" i="11"/>
  <c r="R505" i="11"/>
  <c r="O502" i="11"/>
  <c r="K502" i="11"/>
  <c r="W500" i="11"/>
  <c r="V500" i="11"/>
  <c r="T500" i="11"/>
  <c r="S500" i="11"/>
  <c r="R500" i="11"/>
  <c r="Q500" i="11"/>
  <c r="P500" i="11"/>
  <c r="M500" i="11"/>
  <c r="L500" i="11"/>
  <c r="U499" i="11"/>
  <c r="R499" i="11"/>
  <c r="O499" i="11"/>
  <c r="K499" i="11"/>
  <c r="U497" i="11"/>
  <c r="R497" i="11"/>
  <c r="O497" i="11"/>
  <c r="K497" i="11"/>
  <c r="K500" i="11"/>
  <c r="W495" i="11"/>
  <c r="V495" i="11"/>
  <c r="T495" i="11"/>
  <c r="S495" i="11"/>
  <c r="Q495" i="11"/>
  <c r="P495" i="11"/>
  <c r="O495" i="11"/>
  <c r="M495" i="11"/>
  <c r="L495" i="11"/>
  <c r="U494" i="11"/>
  <c r="R494" i="11"/>
  <c r="O494" i="11"/>
  <c r="K494" i="11"/>
  <c r="U492" i="11"/>
  <c r="R492" i="11"/>
  <c r="O492" i="11"/>
  <c r="K492" i="11"/>
  <c r="W490" i="11"/>
  <c r="V490" i="11"/>
  <c r="U490" i="11"/>
  <c r="T490" i="11"/>
  <c r="S490" i="11"/>
  <c r="Q490" i="11"/>
  <c r="P490" i="11"/>
  <c r="M490" i="11"/>
  <c r="L490" i="11"/>
  <c r="U489" i="11"/>
  <c r="R489" i="11"/>
  <c r="O489" i="11"/>
  <c r="N489" i="11"/>
  <c r="K489" i="11"/>
  <c r="U487" i="11"/>
  <c r="R487" i="11"/>
  <c r="R490" i="11"/>
  <c r="O487" i="11"/>
  <c r="K487" i="11"/>
  <c r="K490" i="11"/>
  <c r="W485" i="11"/>
  <c r="V485" i="11"/>
  <c r="T485" i="11"/>
  <c r="S485" i="11"/>
  <c r="Q485" i="11"/>
  <c r="P485" i="11"/>
  <c r="M485" i="11"/>
  <c r="L485" i="11"/>
  <c r="K485" i="11"/>
  <c r="U484" i="11"/>
  <c r="R484" i="11"/>
  <c r="O484" i="11"/>
  <c r="K484" i="11"/>
  <c r="U482" i="11"/>
  <c r="U485" i="11"/>
  <c r="R482" i="11"/>
  <c r="R485" i="11"/>
  <c r="O482" i="11"/>
  <c r="K482" i="11"/>
  <c r="W480" i="11"/>
  <c r="V480" i="11"/>
  <c r="T480" i="11"/>
  <c r="S480" i="11"/>
  <c r="R480" i="11"/>
  <c r="Q480" i="11"/>
  <c r="P480" i="11"/>
  <c r="M480" i="11"/>
  <c r="L480" i="11"/>
  <c r="U479" i="11"/>
  <c r="R479" i="11"/>
  <c r="O479" i="11"/>
  <c r="K479" i="11"/>
  <c r="U477" i="11"/>
  <c r="R477" i="11"/>
  <c r="O477" i="11"/>
  <c r="K477" i="11"/>
  <c r="K480" i="11"/>
  <c r="W475" i="11"/>
  <c r="V475" i="11"/>
  <c r="T475" i="11"/>
  <c r="S475" i="11"/>
  <c r="Q475" i="11"/>
  <c r="P475" i="11"/>
  <c r="O475" i="11"/>
  <c r="M475" i="11"/>
  <c r="L475" i="11"/>
  <c r="U474" i="11"/>
  <c r="R474" i="11"/>
  <c r="O474" i="11"/>
  <c r="K474" i="11"/>
  <c r="U472" i="11"/>
  <c r="U475" i="11"/>
  <c r="R472" i="11"/>
  <c r="O472" i="11"/>
  <c r="N472" i="11"/>
  <c r="K472" i="11"/>
  <c r="W470" i="11"/>
  <c r="V470" i="11"/>
  <c r="U470" i="11"/>
  <c r="T470" i="11"/>
  <c r="S470" i="11"/>
  <c r="Q470" i="11"/>
  <c r="P470" i="11"/>
  <c r="M470" i="11"/>
  <c r="L470" i="11"/>
  <c r="U469" i="11"/>
  <c r="R469" i="11"/>
  <c r="O469" i="11"/>
  <c r="N469" i="11"/>
  <c r="K469" i="11"/>
  <c r="U467" i="11"/>
  <c r="R467" i="11"/>
  <c r="R470" i="11"/>
  <c r="O467" i="11"/>
  <c r="K467" i="11"/>
  <c r="K470" i="11"/>
  <c r="W465" i="11"/>
  <c r="V465" i="11"/>
  <c r="T465" i="11"/>
  <c r="S465" i="11"/>
  <c r="Q465" i="11"/>
  <c r="P465" i="11"/>
  <c r="M465" i="11"/>
  <c r="L465" i="11"/>
  <c r="U464" i="11"/>
  <c r="R464" i="11"/>
  <c r="O464" i="11"/>
  <c r="K464" i="11"/>
  <c r="U462" i="11"/>
  <c r="R462" i="11"/>
  <c r="R465" i="11"/>
  <c r="O462" i="11"/>
  <c r="K462" i="11"/>
  <c r="W460" i="11"/>
  <c r="V460" i="11"/>
  <c r="T460" i="11"/>
  <c r="S460" i="11"/>
  <c r="Q460" i="11"/>
  <c r="P460" i="11"/>
  <c r="O460" i="11"/>
  <c r="M460" i="11"/>
  <c r="L460" i="11"/>
  <c r="K460" i="11"/>
  <c r="U459" i="11"/>
  <c r="R459" i="11"/>
  <c r="O459" i="11"/>
  <c r="N459" i="11"/>
  <c r="K459" i="11"/>
  <c r="U457" i="11"/>
  <c r="U460" i="11"/>
  <c r="R457" i="11"/>
  <c r="R460" i="11"/>
  <c r="O457" i="11"/>
  <c r="K457" i="11"/>
  <c r="W455" i="11"/>
  <c r="V455" i="11"/>
  <c r="T455" i="11"/>
  <c r="S455" i="11"/>
  <c r="Q455" i="11"/>
  <c r="P455" i="11"/>
  <c r="O455" i="11"/>
  <c r="M455" i="11"/>
  <c r="L455" i="11"/>
  <c r="U454" i="11"/>
  <c r="R454" i="11"/>
  <c r="O454" i="11"/>
  <c r="K454" i="11"/>
  <c r="U452" i="11"/>
  <c r="R452" i="11"/>
  <c r="O452" i="11"/>
  <c r="N452" i="11"/>
  <c r="K452" i="11"/>
  <c r="W450" i="11"/>
  <c r="V450" i="11"/>
  <c r="T450" i="11"/>
  <c r="S450" i="11"/>
  <c r="R450" i="11"/>
  <c r="Q450" i="11"/>
  <c r="P450" i="11"/>
  <c r="M450" i="11"/>
  <c r="L450" i="11"/>
  <c r="U449" i="11"/>
  <c r="N449" i="11"/>
  <c r="R449" i="11"/>
  <c r="O449" i="11"/>
  <c r="K449" i="11"/>
  <c r="J449" i="11"/>
  <c r="U447" i="11"/>
  <c r="U450" i="11"/>
  <c r="R447" i="11"/>
  <c r="O447" i="11"/>
  <c r="O450" i="11"/>
  <c r="K447" i="11"/>
  <c r="K450" i="11"/>
  <c r="W445" i="11"/>
  <c r="V445" i="11"/>
  <c r="U445" i="11"/>
  <c r="T445" i="11"/>
  <c r="S445" i="11"/>
  <c r="Q445" i="11"/>
  <c r="P445" i="11"/>
  <c r="M445" i="11"/>
  <c r="L445" i="11"/>
  <c r="K445" i="11"/>
  <c r="U444" i="11"/>
  <c r="R444" i="11"/>
  <c r="O444" i="11"/>
  <c r="N444" i="11"/>
  <c r="K444" i="11"/>
  <c r="U442" i="11"/>
  <c r="R442" i="11"/>
  <c r="R445" i="11"/>
  <c r="O442" i="11"/>
  <c r="K442" i="11"/>
  <c r="W440" i="11"/>
  <c r="V440" i="11"/>
  <c r="T440" i="11"/>
  <c r="S440" i="11"/>
  <c r="Q440" i="11"/>
  <c r="P440" i="11"/>
  <c r="M440" i="11"/>
  <c r="L440" i="11"/>
  <c r="K440" i="11"/>
  <c r="U439" i="11"/>
  <c r="R439" i="11"/>
  <c r="O439" i="11"/>
  <c r="N439" i="11"/>
  <c r="J439" i="11"/>
  <c r="K439" i="11"/>
  <c r="U437" i="11"/>
  <c r="U440" i="11"/>
  <c r="R437" i="11"/>
  <c r="R440" i="11"/>
  <c r="O437" i="11"/>
  <c r="N437" i="11"/>
  <c r="K437" i="11"/>
  <c r="W435" i="11"/>
  <c r="V435" i="11"/>
  <c r="U435" i="11"/>
  <c r="T435" i="11"/>
  <c r="S435" i="11"/>
  <c r="R435" i="11"/>
  <c r="Q435" i="11"/>
  <c r="P435" i="11"/>
  <c r="M435" i="11"/>
  <c r="L435" i="11"/>
  <c r="U434" i="11"/>
  <c r="N434" i="11"/>
  <c r="R434" i="11"/>
  <c r="O434" i="11"/>
  <c r="K434" i="11"/>
  <c r="J434" i="11"/>
  <c r="U432" i="11"/>
  <c r="R432" i="11"/>
  <c r="O432" i="11"/>
  <c r="K432" i="11"/>
  <c r="K435" i="11"/>
  <c r="W430" i="11"/>
  <c r="V430" i="11"/>
  <c r="T430" i="11"/>
  <c r="S430" i="11"/>
  <c r="Q430" i="11"/>
  <c r="P430" i="11"/>
  <c r="O430" i="11"/>
  <c r="M430" i="11"/>
  <c r="L430" i="11"/>
  <c r="U429" i="11"/>
  <c r="R429" i="11"/>
  <c r="O429" i="11"/>
  <c r="K429" i="11"/>
  <c r="U427" i="11"/>
  <c r="U430" i="11"/>
  <c r="R427" i="11"/>
  <c r="O427" i="11"/>
  <c r="N427" i="11"/>
  <c r="K427" i="11"/>
  <c r="W425" i="11"/>
  <c r="V425" i="11"/>
  <c r="U425" i="11"/>
  <c r="T425" i="11"/>
  <c r="S425" i="11"/>
  <c r="Q425" i="11"/>
  <c r="P425" i="11"/>
  <c r="M425" i="11"/>
  <c r="L425" i="11"/>
  <c r="U424" i="11"/>
  <c r="R424" i="11"/>
  <c r="O424" i="11"/>
  <c r="N424" i="11"/>
  <c r="K424" i="11"/>
  <c r="U422" i="11"/>
  <c r="R422" i="11"/>
  <c r="R425" i="11"/>
  <c r="O422" i="11"/>
  <c r="K422" i="11"/>
  <c r="K425" i="11"/>
  <c r="W420" i="11"/>
  <c r="V420" i="11"/>
  <c r="T420" i="11"/>
  <c r="S420" i="11"/>
  <c r="Q420" i="11"/>
  <c r="P420" i="11"/>
  <c r="O420" i="11"/>
  <c r="M420" i="11"/>
  <c r="L420" i="11"/>
  <c r="K420" i="11"/>
  <c r="U419" i="11"/>
  <c r="R419" i="11"/>
  <c r="O419" i="11"/>
  <c r="N419" i="11"/>
  <c r="K419" i="11"/>
  <c r="J419" i="11"/>
  <c r="U417" i="11"/>
  <c r="U420" i="11"/>
  <c r="R417" i="11"/>
  <c r="R420" i="11"/>
  <c r="O417" i="11"/>
  <c r="N417" i="11"/>
  <c r="N420" i="11"/>
  <c r="K417" i="11"/>
  <c r="W415" i="11"/>
  <c r="V415" i="11"/>
  <c r="U415" i="11"/>
  <c r="T415" i="11"/>
  <c r="S415" i="11"/>
  <c r="R415" i="11"/>
  <c r="Q415" i="11"/>
  <c r="P415" i="11"/>
  <c r="M415" i="11"/>
  <c r="L415" i="11"/>
  <c r="U414" i="11"/>
  <c r="N414" i="11"/>
  <c r="R414" i="11"/>
  <c r="O414" i="11"/>
  <c r="K414" i="11"/>
  <c r="J414" i="11"/>
  <c r="U412" i="11"/>
  <c r="R412" i="11"/>
  <c r="O412" i="11"/>
  <c r="K412" i="11"/>
  <c r="K415" i="11"/>
  <c r="W410" i="11"/>
  <c r="V410" i="11"/>
  <c r="T410" i="11"/>
  <c r="S410" i="11"/>
  <c r="Q410" i="11"/>
  <c r="P410" i="11"/>
  <c r="O410" i="11"/>
  <c r="M410" i="11"/>
  <c r="L410" i="11"/>
  <c r="U409" i="11"/>
  <c r="R409" i="11"/>
  <c r="R539" i="11"/>
  <c r="O409" i="11"/>
  <c r="K409" i="11"/>
  <c r="U407" i="11"/>
  <c r="U537" i="11"/>
  <c r="R407" i="11"/>
  <c r="O407" i="11"/>
  <c r="K407" i="11"/>
  <c r="I404" i="11"/>
  <c r="H404" i="11"/>
  <c r="H546" i="11"/>
  <c r="T403" i="11"/>
  <c r="S403" i="11"/>
  <c r="L403" i="11"/>
  <c r="I403" i="11"/>
  <c r="H403" i="11"/>
  <c r="H545" i="11"/>
  <c r="W402" i="11"/>
  <c r="W403" i="11"/>
  <c r="V402" i="11"/>
  <c r="T402" i="11"/>
  <c r="S402" i="11"/>
  <c r="Q402" i="11"/>
  <c r="P402" i="11"/>
  <c r="P403" i="11"/>
  <c r="M402" i="11"/>
  <c r="L402" i="11"/>
  <c r="K402" i="11"/>
  <c r="I402" i="11"/>
  <c r="H402" i="11"/>
  <c r="H544" i="11"/>
  <c r="I401" i="11"/>
  <c r="I543" i="11"/>
  <c r="W400" i="11"/>
  <c r="V400" i="11"/>
  <c r="V403" i="11"/>
  <c r="T400" i="11"/>
  <c r="S400" i="11"/>
  <c r="Q400" i="11"/>
  <c r="Q403" i="11"/>
  <c r="P400" i="11"/>
  <c r="M400" i="11"/>
  <c r="M403" i="11"/>
  <c r="L400" i="11"/>
  <c r="W398" i="11"/>
  <c r="V398" i="11"/>
  <c r="U398" i="11"/>
  <c r="T398" i="11"/>
  <c r="S398" i="11"/>
  <c r="R398" i="11"/>
  <c r="Q398" i="11"/>
  <c r="P398" i="11"/>
  <c r="M398" i="11"/>
  <c r="L398" i="11"/>
  <c r="U397" i="11"/>
  <c r="R397" i="11"/>
  <c r="O397" i="11"/>
  <c r="N397" i="11"/>
  <c r="K397" i="11"/>
  <c r="U395" i="11"/>
  <c r="R395" i="11"/>
  <c r="R400" i="11"/>
  <c r="O395" i="11"/>
  <c r="K395" i="11"/>
  <c r="K398" i="11"/>
  <c r="I395" i="11"/>
  <c r="I400" i="11"/>
  <c r="H395" i="11"/>
  <c r="W393" i="11"/>
  <c r="V393" i="11"/>
  <c r="U393" i="11"/>
  <c r="T393" i="11"/>
  <c r="S393" i="11"/>
  <c r="R393" i="11"/>
  <c r="Q393" i="11"/>
  <c r="P393" i="11"/>
  <c r="M393" i="11"/>
  <c r="L393" i="11"/>
  <c r="H393" i="11"/>
  <c r="U392" i="11"/>
  <c r="R392" i="11"/>
  <c r="O392" i="11"/>
  <c r="N392" i="11"/>
  <c r="J392" i="11"/>
  <c r="K392" i="11"/>
  <c r="U390" i="11"/>
  <c r="N390" i="11"/>
  <c r="N393" i="11"/>
  <c r="R390" i="11"/>
  <c r="O390" i="11"/>
  <c r="K390" i="11"/>
  <c r="I390" i="11"/>
  <c r="W388" i="11"/>
  <c r="V388" i="11"/>
  <c r="T388" i="11"/>
  <c r="S388" i="11"/>
  <c r="Q388" i="11"/>
  <c r="P388" i="11"/>
  <c r="M388" i="11"/>
  <c r="L388" i="11"/>
  <c r="U387" i="11"/>
  <c r="R387" i="11"/>
  <c r="O387" i="11"/>
  <c r="K387" i="11"/>
  <c r="U385" i="11"/>
  <c r="R385" i="11"/>
  <c r="R388" i="11"/>
  <c r="O385" i="11"/>
  <c r="K385" i="11"/>
  <c r="I385" i="11"/>
  <c r="H385" i="11"/>
  <c r="W383" i="11"/>
  <c r="V383" i="11"/>
  <c r="T383" i="11"/>
  <c r="S383" i="11"/>
  <c r="Q383" i="11"/>
  <c r="P383" i="11"/>
  <c r="O383" i="11"/>
  <c r="M383" i="11"/>
  <c r="L383" i="11"/>
  <c r="U382" i="11"/>
  <c r="R382" i="11"/>
  <c r="O382" i="11"/>
  <c r="K382" i="11"/>
  <c r="U380" i="11"/>
  <c r="R380" i="11"/>
  <c r="O380" i="11"/>
  <c r="K380" i="11"/>
  <c r="I380" i="11"/>
  <c r="H380" i="11"/>
  <c r="W378" i="11"/>
  <c r="V378" i="11"/>
  <c r="T378" i="11"/>
  <c r="S378" i="11"/>
  <c r="Q378" i="11"/>
  <c r="P378" i="11"/>
  <c r="M378" i="11"/>
  <c r="L378" i="11"/>
  <c r="U377" i="11"/>
  <c r="U402" i="11"/>
  <c r="R377" i="11"/>
  <c r="O377" i="11"/>
  <c r="K377" i="11"/>
  <c r="U375" i="11"/>
  <c r="R375" i="11"/>
  <c r="R378" i="11"/>
  <c r="O375" i="11"/>
  <c r="K375" i="11"/>
  <c r="I375" i="11"/>
  <c r="H375" i="11"/>
  <c r="I371" i="11"/>
  <c r="H371" i="11"/>
  <c r="V370" i="11"/>
  <c r="M370" i="11"/>
  <c r="I370" i="11"/>
  <c r="H370" i="11"/>
  <c r="W369" i="11"/>
  <c r="V369" i="11"/>
  <c r="T369" i="11"/>
  <c r="S369" i="11"/>
  <c r="Q369" i="11"/>
  <c r="Q370" i="11"/>
  <c r="P369" i="11"/>
  <c r="M369" i="11"/>
  <c r="L369" i="11"/>
  <c r="L544" i="11"/>
  <c r="I369" i="11"/>
  <c r="H369" i="11"/>
  <c r="I368" i="11"/>
  <c r="H368" i="11"/>
  <c r="W367" i="11"/>
  <c r="W370" i="11"/>
  <c r="V367" i="11"/>
  <c r="T367" i="11"/>
  <c r="T370" i="11"/>
  <c r="S367" i="11"/>
  <c r="S370" i="11"/>
  <c r="Q367" i="11"/>
  <c r="P367" i="11"/>
  <c r="P370" i="11"/>
  <c r="M367" i="11"/>
  <c r="L367" i="11"/>
  <c r="L370" i="11"/>
  <c r="W365" i="11"/>
  <c r="V365" i="11"/>
  <c r="T365" i="11"/>
  <c r="S365" i="11"/>
  <c r="Q365" i="11"/>
  <c r="P365" i="11"/>
  <c r="M365" i="11"/>
  <c r="L365" i="11"/>
  <c r="U364" i="11"/>
  <c r="R364" i="11"/>
  <c r="R365" i="11"/>
  <c r="O364" i="11"/>
  <c r="O365" i="11"/>
  <c r="K364" i="11"/>
  <c r="U362" i="11"/>
  <c r="U365" i="11"/>
  <c r="R362" i="11"/>
  <c r="O362" i="11"/>
  <c r="N362" i="11"/>
  <c r="K362" i="11"/>
  <c r="K365" i="11"/>
  <c r="I362" i="11"/>
  <c r="H362" i="11"/>
  <c r="W360" i="11"/>
  <c r="V360" i="11"/>
  <c r="T360" i="11"/>
  <c r="S360" i="11"/>
  <c r="Q360" i="11"/>
  <c r="P360" i="11"/>
  <c r="M360" i="11"/>
  <c r="L360" i="11"/>
  <c r="U359" i="11"/>
  <c r="R359" i="11"/>
  <c r="O359" i="11"/>
  <c r="K359" i="11"/>
  <c r="U357" i="11"/>
  <c r="U360" i="11"/>
  <c r="R357" i="11"/>
  <c r="R360" i="11"/>
  <c r="O357" i="11"/>
  <c r="K357" i="11"/>
  <c r="K360" i="11"/>
  <c r="I357" i="11"/>
  <c r="H357" i="11"/>
  <c r="W355" i="11"/>
  <c r="V355" i="11"/>
  <c r="T355" i="11"/>
  <c r="S355" i="11"/>
  <c r="Q355" i="11"/>
  <c r="P355" i="11"/>
  <c r="M355" i="11"/>
  <c r="L355" i="11"/>
  <c r="U354" i="11"/>
  <c r="R354" i="11"/>
  <c r="O354" i="11"/>
  <c r="N354" i="11"/>
  <c r="J354" i="11"/>
  <c r="K354" i="11"/>
  <c r="U352" i="11"/>
  <c r="U355" i="11"/>
  <c r="R352" i="11"/>
  <c r="R355" i="11"/>
  <c r="O352" i="11"/>
  <c r="N352" i="11"/>
  <c r="K352" i="11"/>
  <c r="J352" i="11"/>
  <c r="I352" i="11"/>
  <c r="H352" i="11"/>
  <c r="W350" i="11"/>
  <c r="V350" i="11"/>
  <c r="T350" i="11"/>
  <c r="S350" i="11"/>
  <c r="Q350" i="11"/>
  <c r="P350" i="11"/>
  <c r="O350" i="11"/>
  <c r="M350" i="11"/>
  <c r="L350" i="11"/>
  <c r="K350" i="11"/>
  <c r="U349" i="11"/>
  <c r="R349" i="11"/>
  <c r="O349" i="11"/>
  <c r="N349" i="11"/>
  <c r="K349" i="11"/>
  <c r="U347" i="11"/>
  <c r="U350" i="11"/>
  <c r="R347" i="11"/>
  <c r="R350" i="11"/>
  <c r="O347" i="11"/>
  <c r="K347" i="11"/>
  <c r="I347" i="11"/>
  <c r="H347" i="11"/>
  <c r="W345" i="11"/>
  <c r="V345" i="11"/>
  <c r="T345" i="11"/>
  <c r="S345" i="11"/>
  <c r="R345" i="11"/>
  <c r="Q345" i="11"/>
  <c r="P345" i="11"/>
  <c r="M345" i="11"/>
  <c r="L345" i="11"/>
  <c r="U344" i="11"/>
  <c r="N344" i="11"/>
  <c r="R344" i="11"/>
  <c r="O344" i="11"/>
  <c r="K344" i="11"/>
  <c r="U342" i="11"/>
  <c r="R342" i="11"/>
  <c r="O342" i="11"/>
  <c r="N342" i="11"/>
  <c r="K342" i="11"/>
  <c r="I342" i="11"/>
  <c r="H342" i="11"/>
  <c r="W340" i="11"/>
  <c r="V340" i="11"/>
  <c r="T340" i="11"/>
  <c r="S340" i="11"/>
  <c r="Q340" i="11"/>
  <c r="P340" i="11"/>
  <c r="O340" i="11"/>
  <c r="M340" i="11"/>
  <c r="L340" i="11"/>
  <c r="K340" i="11"/>
  <c r="U339" i="11"/>
  <c r="R339" i="11"/>
  <c r="O339" i="11"/>
  <c r="N339" i="11"/>
  <c r="K339" i="11"/>
  <c r="U337" i="11"/>
  <c r="U340" i="11"/>
  <c r="R337" i="11"/>
  <c r="R340" i="11"/>
  <c r="O337" i="11"/>
  <c r="K337" i="11"/>
  <c r="I337" i="11"/>
  <c r="H337" i="11"/>
  <c r="W335" i="11"/>
  <c r="V335" i="11"/>
  <c r="T335" i="11"/>
  <c r="S335" i="11"/>
  <c r="R335" i="11"/>
  <c r="Q335" i="11"/>
  <c r="P335" i="11"/>
  <c r="M335" i="11"/>
  <c r="L335" i="11"/>
  <c r="U334" i="11"/>
  <c r="N334" i="11"/>
  <c r="R334" i="11"/>
  <c r="O334" i="11"/>
  <c r="K334" i="11"/>
  <c r="U332" i="11"/>
  <c r="R332" i="11"/>
  <c r="O332" i="11"/>
  <c r="N332" i="11"/>
  <c r="K332" i="11"/>
  <c r="I332" i="11"/>
  <c r="H332" i="11"/>
  <c r="W330" i="11"/>
  <c r="V330" i="11"/>
  <c r="T330" i="11"/>
  <c r="S330" i="11"/>
  <c r="Q330" i="11"/>
  <c r="P330" i="11"/>
  <c r="O330" i="11"/>
  <c r="M330" i="11"/>
  <c r="L330" i="11"/>
  <c r="K330" i="11"/>
  <c r="U329" i="11"/>
  <c r="R329" i="11"/>
  <c r="O329" i="11"/>
  <c r="N329" i="11"/>
  <c r="K329" i="11"/>
  <c r="U327" i="11"/>
  <c r="U330" i="11"/>
  <c r="R327" i="11"/>
  <c r="R330" i="11"/>
  <c r="O327" i="11"/>
  <c r="K327" i="11"/>
  <c r="I327" i="11"/>
  <c r="H327" i="11"/>
  <c r="W325" i="11"/>
  <c r="V325" i="11"/>
  <c r="T325" i="11"/>
  <c r="S325" i="11"/>
  <c r="R325" i="11"/>
  <c r="Q325" i="11"/>
  <c r="P325" i="11"/>
  <c r="M325" i="11"/>
  <c r="L325" i="11"/>
  <c r="U324" i="11"/>
  <c r="N324" i="11"/>
  <c r="R324" i="11"/>
  <c r="O324" i="11"/>
  <c r="K324" i="11"/>
  <c r="U322" i="11"/>
  <c r="R322" i="11"/>
  <c r="O322" i="11"/>
  <c r="N322" i="11"/>
  <c r="K322" i="11"/>
  <c r="I322" i="11"/>
  <c r="H322" i="11"/>
  <c r="W320" i="11"/>
  <c r="V320" i="11"/>
  <c r="T320" i="11"/>
  <c r="S320" i="11"/>
  <c r="Q320" i="11"/>
  <c r="P320" i="11"/>
  <c r="O320" i="11"/>
  <c r="M320" i="11"/>
  <c r="L320" i="11"/>
  <c r="K320" i="11"/>
  <c r="U319" i="11"/>
  <c r="R319" i="11"/>
  <c r="O319" i="11"/>
  <c r="N319" i="11"/>
  <c r="K319" i="11"/>
  <c r="U317" i="11"/>
  <c r="U320" i="11"/>
  <c r="R317" i="11"/>
  <c r="R320" i="11"/>
  <c r="O317" i="11"/>
  <c r="K317" i="11"/>
  <c r="I317" i="11"/>
  <c r="H317" i="11"/>
  <c r="W315" i="11"/>
  <c r="V315" i="11"/>
  <c r="T315" i="11"/>
  <c r="S315" i="11"/>
  <c r="R315" i="11"/>
  <c r="Q315" i="11"/>
  <c r="P315" i="11"/>
  <c r="M315" i="11"/>
  <c r="L315" i="11"/>
  <c r="U314" i="11"/>
  <c r="N314" i="11"/>
  <c r="R314" i="11"/>
  <c r="O314" i="11"/>
  <c r="K314" i="11"/>
  <c r="U312" i="11"/>
  <c r="R312" i="11"/>
  <c r="O312" i="11"/>
  <c r="N312" i="11"/>
  <c r="K312" i="11"/>
  <c r="I312" i="11"/>
  <c r="H312" i="11"/>
  <c r="W310" i="11"/>
  <c r="V310" i="11"/>
  <c r="T310" i="11"/>
  <c r="S310" i="11"/>
  <c r="Q310" i="11"/>
  <c r="P310" i="11"/>
  <c r="O310" i="11"/>
  <c r="M310" i="11"/>
  <c r="L310" i="11"/>
  <c r="K310" i="11"/>
  <c r="U309" i="11"/>
  <c r="R309" i="11"/>
  <c r="O309" i="11"/>
  <c r="N309" i="11"/>
  <c r="K309" i="11"/>
  <c r="U307" i="11"/>
  <c r="U310" i="11"/>
  <c r="R307" i="11"/>
  <c r="R310" i="11"/>
  <c r="O307" i="11"/>
  <c r="K307" i="11"/>
  <c r="I307" i="11"/>
  <c r="H307" i="11"/>
  <c r="W305" i="11"/>
  <c r="V305" i="11"/>
  <c r="U305" i="11"/>
  <c r="T305" i="11"/>
  <c r="S305" i="11"/>
  <c r="R305" i="11"/>
  <c r="Q305" i="11"/>
  <c r="P305" i="11"/>
  <c r="M305" i="11"/>
  <c r="L305" i="11"/>
  <c r="U304" i="11"/>
  <c r="N304" i="11"/>
  <c r="R304" i="11"/>
  <c r="O304" i="11"/>
  <c r="K304" i="11"/>
  <c r="U302" i="11"/>
  <c r="R302" i="11"/>
  <c r="O302" i="11"/>
  <c r="K302" i="11"/>
  <c r="I302" i="11"/>
  <c r="H302" i="11"/>
  <c r="W300" i="11"/>
  <c r="V300" i="11"/>
  <c r="T300" i="11"/>
  <c r="S300" i="11"/>
  <c r="Q300" i="11"/>
  <c r="P300" i="11"/>
  <c r="O300" i="11"/>
  <c r="M300" i="11"/>
  <c r="L300" i="11"/>
  <c r="K300" i="11"/>
  <c r="U299" i="11"/>
  <c r="R299" i="11"/>
  <c r="O299" i="11"/>
  <c r="N299" i="11"/>
  <c r="K299" i="11"/>
  <c r="U297" i="11"/>
  <c r="U300" i="11"/>
  <c r="R297" i="11"/>
  <c r="R300" i="11"/>
  <c r="O297" i="11"/>
  <c r="K297" i="11"/>
  <c r="I297" i="11"/>
  <c r="H297" i="11"/>
  <c r="W295" i="11"/>
  <c r="V295" i="11"/>
  <c r="U295" i="11"/>
  <c r="T295" i="11"/>
  <c r="S295" i="11"/>
  <c r="R295" i="11"/>
  <c r="Q295" i="11"/>
  <c r="P295" i="11"/>
  <c r="M295" i="11"/>
  <c r="L295" i="11"/>
  <c r="U294" i="11"/>
  <c r="N294" i="11"/>
  <c r="R294" i="11"/>
  <c r="O294" i="11"/>
  <c r="K294" i="11"/>
  <c r="U292" i="11"/>
  <c r="R292" i="11"/>
  <c r="O292" i="11"/>
  <c r="K292" i="11"/>
  <c r="I292" i="11"/>
  <c r="H292" i="11"/>
  <c r="W290" i="11"/>
  <c r="V290" i="11"/>
  <c r="T290" i="11"/>
  <c r="S290" i="11"/>
  <c r="Q290" i="11"/>
  <c r="P290" i="11"/>
  <c r="O290" i="11"/>
  <c r="M290" i="11"/>
  <c r="L290" i="11"/>
  <c r="K290" i="11"/>
  <c r="U289" i="11"/>
  <c r="R289" i="11"/>
  <c r="O289" i="11"/>
  <c r="N289" i="11"/>
  <c r="K289" i="11"/>
  <c r="U287" i="11"/>
  <c r="U290" i="11"/>
  <c r="R287" i="11"/>
  <c r="R290" i="11"/>
  <c r="O287" i="11"/>
  <c r="K287" i="11"/>
  <c r="I287" i="11"/>
  <c r="H287" i="11"/>
  <c r="W285" i="11"/>
  <c r="V285" i="11"/>
  <c r="U285" i="11"/>
  <c r="T285" i="11"/>
  <c r="S285" i="11"/>
  <c r="R285" i="11"/>
  <c r="Q285" i="11"/>
  <c r="P285" i="11"/>
  <c r="M285" i="11"/>
  <c r="L285" i="11"/>
  <c r="U284" i="11"/>
  <c r="N284" i="11"/>
  <c r="R284" i="11"/>
  <c r="O284" i="11"/>
  <c r="K284" i="11"/>
  <c r="U282" i="11"/>
  <c r="R282" i="11"/>
  <c r="O282" i="11"/>
  <c r="K282" i="11"/>
  <c r="I282" i="11"/>
  <c r="H282" i="11"/>
  <c r="W280" i="11"/>
  <c r="V280" i="11"/>
  <c r="T280" i="11"/>
  <c r="S280" i="11"/>
  <c r="Q280" i="11"/>
  <c r="P280" i="11"/>
  <c r="O280" i="11"/>
  <c r="M280" i="11"/>
  <c r="L280" i="11"/>
  <c r="K280" i="11"/>
  <c r="U279" i="11"/>
  <c r="R279" i="11"/>
  <c r="O279" i="11"/>
  <c r="N279" i="11"/>
  <c r="K279" i="11"/>
  <c r="U277" i="11"/>
  <c r="U280" i="11"/>
  <c r="R277" i="11"/>
  <c r="R280" i="11"/>
  <c r="O277" i="11"/>
  <c r="K277" i="11"/>
  <c r="I277" i="11"/>
  <c r="H277" i="11"/>
  <c r="W275" i="11"/>
  <c r="V275" i="11"/>
  <c r="U275" i="11"/>
  <c r="T275" i="11"/>
  <c r="S275" i="11"/>
  <c r="R275" i="11"/>
  <c r="Q275" i="11"/>
  <c r="P275" i="11"/>
  <c r="M275" i="11"/>
  <c r="L275" i="11"/>
  <c r="U274" i="11"/>
  <c r="N274" i="11"/>
  <c r="R274" i="11"/>
  <c r="O274" i="11"/>
  <c r="K274" i="11"/>
  <c r="U272" i="11"/>
  <c r="R272" i="11"/>
  <c r="O272" i="11"/>
  <c r="K272" i="11"/>
  <c r="I272" i="11"/>
  <c r="H272" i="11"/>
  <c r="W270" i="11"/>
  <c r="V270" i="11"/>
  <c r="T270" i="11"/>
  <c r="S270" i="11"/>
  <c r="Q270" i="11"/>
  <c r="P270" i="11"/>
  <c r="O270" i="11"/>
  <c r="M270" i="11"/>
  <c r="L270" i="11"/>
  <c r="K270" i="11"/>
  <c r="U269" i="11"/>
  <c r="R269" i="11"/>
  <c r="O269" i="11"/>
  <c r="N269" i="11"/>
  <c r="K269" i="11"/>
  <c r="U267" i="11"/>
  <c r="U270" i="11"/>
  <c r="R267" i="11"/>
  <c r="R270" i="11"/>
  <c r="O267" i="11"/>
  <c r="K267" i="11"/>
  <c r="I267" i="11"/>
  <c r="H267" i="11"/>
  <c r="W265" i="11"/>
  <c r="V265" i="11"/>
  <c r="U265" i="11"/>
  <c r="T265" i="11"/>
  <c r="S265" i="11"/>
  <c r="R265" i="11"/>
  <c r="Q265" i="11"/>
  <c r="P265" i="11"/>
  <c r="M265" i="11"/>
  <c r="L265" i="11"/>
  <c r="U264" i="11"/>
  <c r="N264" i="11"/>
  <c r="R264" i="11"/>
  <c r="O264" i="11"/>
  <c r="K264" i="11"/>
  <c r="U262" i="11"/>
  <c r="R262" i="11"/>
  <c r="O262" i="11"/>
  <c r="K262" i="11"/>
  <c r="I262" i="11"/>
  <c r="H262" i="11"/>
  <c r="W260" i="11"/>
  <c r="V260" i="11"/>
  <c r="T260" i="11"/>
  <c r="S260" i="11"/>
  <c r="Q260" i="11"/>
  <c r="P260" i="11"/>
  <c r="O260" i="11"/>
  <c r="M260" i="11"/>
  <c r="L260" i="11"/>
  <c r="K260" i="11"/>
  <c r="U259" i="11"/>
  <c r="R259" i="11"/>
  <c r="O259" i="11"/>
  <c r="N259" i="11"/>
  <c r="K259" i="11"/>
  <c r="U257" i="11"/>
  <c r="U260" i="11"/>
  <c r="R257" i="11"/>
  <c r="R260" i="11"/>
  <c r="O257" i="11"/>
  <c r="K257" i="11"/>
  <c r="I257" i="11"/>
  <c r="H257" i="11"/>
  <c r="W255" i="11"/>
  <c r="V255" i="11"/>
  <c r="U255" i="11"/>
  <c r="T255" i="11"/>
  <c r="S255" i="11"/>
  <c r="R255" i="11"/>
  <c r="Q255" i="11"/>
  <c r="P255" i="11"/>
  <c r="M255" i="11"/>
  <c r="L255" i="11"/>
  <c r="U254" i="11"/>
  <c r="N254" i="11"/>
  <c r="R254" i="11"/>
  <c r="O254" i="11"/>
  <c r="K254" i="11"/>
  <c r="U252" i="11"/>
  <c r="R252" i="11"/>
  <c r="O252" i="11"/>
  <c r="K252" i="11"/>
  <c r="I252" i="11"/>
  <c r="H252" i="11"/>
  <c r="W250" i="11"/>
  <c r="V250" i="11"/>
  <c r="T250" i="11"/>
  <c r="S250" i="11"/>
  <c r="Q250" i="11"/>
  <c r="P250" i="11"/>
  <c r="O250" i="11"/>
  <c r="M250" i="11"/>
  <c r="L250" i="11"/>
  <c r="K250" i="11"/>
  <c r="U249" i="11"/>
  <c r="R249" i="11"/>
  <c r="O249" i="11"/>
  <c r="N249" i="11"/>
  <c r="K249" i="11"/>
  <c r="U247" i="11"/>
  <c r="U250" i="11"/>
  <c r="R247" i="11"/>
  <c r="R250" i="11"/>
  <c r="O247" i="11"/>
  <c r="K247" i="11"/>
  <c r="I247" i="11"/>
  <c r="H247" i="11"/>
  <c r="W245" i="11"/>
  <c r="V245" i="11"/>
  <c r="U245" i="11"/>
  <c r="T245" i="11"/>
  <c r="S245" i="11"/>
  <c r="R245" i="11"/>
  <c r="Q245" i="11"/>
  <c r="P245" i="11"/>
  <c r="M245" i="11"/>
  <c r="L245" i="11"/>
  <c r="U244" i="11"/>
  <c r="N244" i="11"/>
  <c r="R244" i="11"/>
  <c r="O244" i="11"/>
  <c r="K244" i="11"/>
  <c r="U242" i="11"/>
  <c r="R242" i="11"/>
  <c r="O242" i="11"/>
  <c r="K242" i="11"/>
  <c r="I242" i="11"/>
  <c r="H242" i="11"/>
  <c r="W240" i="11"/>
  <c r="V240" i="11"/>
  <c r="T240" i="11"/>
  <c r="S240" i="11"/>
  <c r="Q240" i="11"/>
  <c r="P240" i="11"/>
  <c r="O240" i="11"/>
  <c r="M240" i="11"/>
  <c r="L240" i="11"/>
  <c r="K240" i="11"/>
  <c r="U239" i="11"/>
  <c r="R239" i="11"/>
  <c r="O239" i="11"/>
  <c r="N239" i="11"/>
  <c r="K239" i="11"/>
  <c r="U237" i="11"/>
  <c r="U240" i="11"/>
  <c r="R237" i="11"/>
  <c r="R240" i="11"/>
  <c r="O237" i="11"/>
  <c r="K237" i="11"/>
  <c r="I237" i="11"/>
  <c r="H237" i="11"/>
  <c r="W235" i="11"/>
  <c r="V235" i="11"/>
  <c r="U235" i="11"/>
  <c r="T235" i="11"/>
  <c r="S235" i="11"/>
  <c r="R235" i="11"/>
  <c r="Q235" i="11"/>
  <c r="P235" i="11"/>
  <c r="M235" i="11"/>
  <c r="L235" i="11"/>
  <c r="U234" i="11"/>
  <c r="N234" i="11"/>
  <c r="R234" i="11"/>
  <c r="O234" i="11"/>
  <c r="K234" i="11"/>
  <c r="U232" i="11"/>
  <c r="R232" i="11"/>
  <c r="O232" i="11"/>
  <c r="K232" i="11"/>
  <c r="I232" i="11"/>
  <c r="H232" i="11"/>
  <c r="W230" i="11"/>
  <c r="V230" i="11"/>
  <c r="T230" i="11"/>
  <c r="S230" i="11"/>
  <c r="Q230" i="11"/>
  <c r="P230" i="11"/>
  <c r="O230" i="11"/>
  <c r="M230" i="11"/>
  <c r="L230" i="11"/>
  <c r="K230" i="11"/>
  <c r="U229" i="11"/>
  <c r="R229" i="11"/>
  <c r="O229" i="11"/>
  <c r="N229" i="11"/>
  <c r="K229" i="11"/>
  <c r="U227" i="11"/>
  <c r="U230" i="11"/>
  <c r="R227" i="11"/>
  <c r="R230" i="11"/>
  <c r="O227" i="11"/>
  <c r="K227" i="11"/>
  <c r="I227" i="11"/>
  <c r="H227" i="11"/>
  <c r="W225" i="11"/>
  <c r="V225" i="11"/>
  <c r="U225" i="11"/>
  <c r="T225" i="11"/>
  <c r="S225" i="11"/>
  <c r="R225" i="11"/>
  <c r="Q225" i="11"/>
  <c r="P225" i="11"/>
  <c r="M225" i="11"/>
  <c r="L225" i="11"/>
  <c r="U224" i="11"/>
  <c r="N224" i="11"/>
  <c r="R224" i="11"/>
  <c r="O224" i="11"/>
  <c r="K224" i="11"/>
  <c r="U222" i="11"/>
  <c r="R222" i="11"/>
  <c r="O222" i="11"/>
  <c r="K222" i="11"/>
  <c r="I222" i="11"/>
  <c r="H222" i="11"/>
  <c r="W220" i="11"/>
  <c r="V220" i="11"/>
  <c r="T220" i="11"/>
  <c r="S220" i="11"/>
  <c r="Q220" i="11"/>
  <c r="P220" i="11"/>
  <c r="O220" i="11"/>
  <c r="M220" i="11"/>
  <c r="L220" i="11"/>
  <c r="K220" i="11"/>
  <c r="U219" i="11"/>
  <c r="R219" i="11"/>
  <c r="O219" i="11"/>
  <c r="N219" i="11"/>
  <c r="K219" i="11"/>
  <c r="U217" i="11"/>
  <c r="U220" i="11"/>
  <c r="R217" i="11"/>
  <c r="R220" i="11"/>
  <c r="O217" i="11"/>
  <c r="K217" i="11"/>
  <c r="I217" i="11"/>
  <c r="H217" i="11"/>
  <c r="W215" i="11"/>
  <c r="V215" i="11"/>
  <c r="U215" i="11"/>
  <c r="T215" i="11"/>
  <c r="S215" i="11"/>
  <c r="R215" i="11"/>
  <c r="Q215" i="11"/>
  <c r="P215" i="11"/>
  <c r="M215" i="11"/>
  <c r="L215" i="11"/>
  <c r="U214" i="11"/>
  <c r="N214" i="11"/>
  <c r="R214" i="11"/>
  <c r="O214" i="11"/>
  <c r="K214" i="11"/>
  <c r="U212" i="11"/>
  <c r="R212" i="11"/>
  <c r="O212" i="11"/>
  <c r="K212" i="11"/>
  <c r="I212" i="11"/>
  <c r="H212" i="11"/>
  <c r="W210" i="11"/>
  <c r="V210" i="11"/>
  <c r="T210" i="11"/>
  <c r="S210" i="11"/>
  <c r="Q210" i="11"/>
  <c r="P210" i="11"/>
  <c r="O210" i="11"/>
  <c r="M210" i="11"/>
  <c r="L210" i="11"/>
  <c r="K210" i="11"/>
  <c r="U209" i="11"/>
  <c r="R209" i="11"/>
  <c r="O209" i="11"/>
  <c r="N209" i="11"/>
  <c r="K209" i="11"/>
  <c r="U207" i="11"/>
  <c r="U210" i="11"/>
  <c r="R207" i="11"/>
  <c r="R210" i="11"/>
  <c r="O207" i="11"/>
  <c r="K207" i="11"/>
  <c r="I207" i="11"/>
  <c r="H207" i="11"/>
  <c r="W205" i="11"/>
  <c r="V205" i="11"/>
  <c r="U205" i="11"/>
  <c r="T205" i="11"/>
  <c r="S205" i="11"/>
  <c r="R205" i="11"/>
  <c r="Q205" i="11"/>
  <c r="P205" i="11"/>
  <c r="M205" i="11"/>
  <c r="L205" i="11"/>
  <c r="U204" i="11"/>
  <c r="N204" i="11"/>
  <c r="R204" i="11"/>
  <c r="O204" i="11"/>
  <c r="K204" i="11"/>
  <c r="U202" i="11"/>
  <c r="R202" i="11"/>
  <c r="O202" i="11"/>
  <c r="K202" i="11"/>
  <c r="I202" i="11"/>
  <c r="H202" i="11"/>
  <c r="W200" i="11"/>
  <c r="V200" i="11"/>
  <c r="T200" i="11"/>
  <c r="S200" i="11"/>
  <c r="Q200" i="11"/>
  <c r="P200" i="11"/>
  <c r="O200" i="11"/>
  <c r="M200" i="11"/>
  <c r="L200" i="11"/>
  <c r="K200" i="11"/>
  <c r="U199" i="11"/>
  <c r="R199" i="11"/>
  <c r="O199" i="11"/>
  <c r="N199" i="11"/>
  <c r="K199" i="11"/>
  <c r="U197" i="11"/>
  <c r="U200" i="11"/>
  <c r="R197" i="11"/>
  <c r="R200" i="11"/>
  <c r="O197" i="11"/>
  <c r="K197" i="11"/>
  <c r="I197" i="11"/>
  <c r="H197" i="11"/>
  <c r="W195" i="11"/>
  <c r="V195" i="11"/>
  <c r="U195" i="11"/>
  <c r="T195" i="11"/>
  <c r="S195" i="11"/>
  <c r="R195" i="11"/>
  <c r="Q195" i="11"/>
  <c r="P195" i="11"/>
  <c r="M195" i="11"/>
  <c r="L195" i="11"/>
  <c r="U194" i="11"/>
  <c r="N194" i="11"/>
  <c r="R194" i="11"/>
  <c r="O194" i="11"/>
  <c r="K194" i="11"/>
  <c r="U192" i="11"/>
  <c r="R192" i="11"/>
  <c r="O192" i="11"/>
  <c r="K192" i="11"/>
  <c r="I192" i="11"/>
  <c r="H192" i="11"/>
  <c r="W190" i="11"/>
  <c r="V190" i="11"/>
  <c r="T190" i="11"/>
  <c r="S190" i="11"/>
  <c r="Q190" i="11"/>
  <c r="P190" i="11"/>
  <c r="O190" i="11"/>
  <c r="M190" i="11"/>
  <c r="L190" i="11"/>
  <c r="K190" i="11"/>
  <c r="U189" i="11"/>
  <c r="R189" i="11"/>
  <c r="O189" i="11"/>
  <c r="N189" i="11"/>
  <c r="K189" i="11"/>
  <c r="U187" i="11"/>
  <c r="U190" i="11"/>
  <c r="R187" i="11"/>
  <c r="R190" i="11"/>
  <c r="O187" i="11"/>
  <c r="K187" i="11"/>
  <c r="I187" i="11"/>
  <c r="H187" i="11"/>
  <c r="W185" i="11"/>
  <c r="V185" i="11"/>
  <c r="U185" i="11"/>
  <c r="T185" i="11"/>
  <c r="S185" i="11"/>
  <c r="R185" i="11"/>
  <c r="Q185" i="11"/>
  <c r="P185" i="11"/>
  <c r="M185" i="11"/>
  <c r="L185" i="11"/>
  <c r="U184" i="11"/>
  <c r="N184" i="11"/>
  <c r="R184" i="11"/>
  <c r="O184" i="11"/>
  <c r="K184" i="11"/>
  <c r="U182" i="11"/>
  <c r="R182" i="11"/>
  <c r="O182" i="11"/>
  <c r="K182" i="11"/>
  <c r="I182" i="11"/>
  <c r="H182" i="11"/>
  <c r="W180" i="11"/>
  <c r="V180" i="11"/>
  <c r="T180" i="11"/>
  <c r="S180" i="11"/>
  <c r="Q180" i="11"/>
  <c r="P180" i="11"/>
  <c r="O180" i="11"/>
  <c r="M180" i="11"/>
  <c r="L180" i="11"/>
  <c r="K180" i="11"/>
  <c r="U179" i="11"/>
  <c r="R179" i="11"/>
  <c r="O179" i="11"/>
  <c r="N179" i="11"/>
  <c r="K179" i="11"/>
  <c r="U177" i="11"/>
  <c r="U180" i="11"/>
  <c r="R177" i="11"/>
  <c r="R180" i="11"/>
  <c r="O177" i="11"/>
  <c r="K177" i="11"/>
  <c r="I177" i="11"/>
  <c r="H177" i="11"/>
  <c r="W175" i="11"/>
  <c r="V175" i="11"/>
  <c r="U175" i="11"/>
  <c r="T175" i="11"/>
  <c r="S175" i="11"/>
  <c r="R175" i="11"/>
  <c r="Q175" i="11"/>
  <c r="P175" i="11"/>
  <c r="M175" i="11"/>
  <c r="L175" i="11"/>
  <c r="U174" i="11"/>
  <c r="N174" i="11"/>
  <c r="R174" i="11"/>
  <c r="O174" i="11"/>
  <c r="K174" i="11"/>
  <c r="U172" i="11"/>
  <c r="R172" i="11"/>
  <c r="O172" i="11"/>
  <c r="K172" i="11"/>
  <c r="I172" i="11"/>
  <c r="H172" i="11"/>
  <c r="W170" i="11"/>
  <c r="V170" i="11"/>
  <c r="T170" i="11"/>
  <c r="S170" i="11"/>
  <c r="Q170" i="11"/>
  <c r="P170" i="11"/>
  <c r="O170" i="11"/>
  <c r="M170" i="11"/>
  <c r="L170" i="11"/>
  <c r="K170" i="11"/>
  <c r="U169" i="11"/>
  <c r="R169" i="11"/>
  <c r="O169" i="11"/>
  <c r="N169" i="11"/>
  <c r="K169" i="11"/>
  <c r="U167" i="11"/>
  <c r="U170" i="11"/>
  <c r="R167" i="11"/>
  <c r="R170" i="11"/>
  <c r="O167" i="11"/>
  <c r="K167" i="11"/>
  <c r="I167" i="11"/>
  <c r="H167" i="11"/>
  <c r="W165" i="11"/>
  <c r="V165" i="11"/>
  <c r="U165" i="11"/>
  <c r="T165" i="11"/>
  <c r="S165" i="11"/>
  <c r="R165" i="11"/>
  <c r="Q165" i="11"/>
  <c r="P165" i="11"/>
  <c r="M165" i="11"/>
  <c r="L165" i="11"/>
  <c r="U164" i="11"/>
  <c r="N164" i="11"/>
  <c r="R164" i="11"/>
  <c r="O164" i="11"/>
  <c r="K164" i="11"/>
  <c r="U162" i="11"/>
  <c r="R162" i="11"/>
  <c r="O162" i="11"/>
  <c r="K162" i="11"/>
  <c r="I162" i="11"/>
  <c r="H162" i="11"/>
  <c r="W160" i="11"/>
  <c r="V160" i="11"/>
  <c r="T160" i="11"/>
  <c r="S160" i="11"/>
  <c r="Q160" i="11"/>
  <c r="P160" i="11"/>
  <c r="O160" i="11"/>
  <c r="M160" i="11"/>
  <c r="L160" i="11"/>
  <c r="K160" i="11"/>
  <c r="U159" i="11"/>
  <c r="R159" i="11"/>
  <c r="O159" i="11"/>
  <c r="N159" i="11"/>
  <c r="K159" i="11"/>
  <c r="U157" i="11"/>
  <c r="U160" i="11"/>
  <c r="R157" i="11"/>
  <c r="R160" i="11"/>
  <c r="O157" i="11"/>
  <c r="K157" i="11"/>
  <c r="I157" i="11"/>
  <c r="H157" i="11"/>
  <c r="W155" i="11"/>
  <c r="V155" i="11"/>
  <c r="U155" i="11"/>
  <c r="T155" i="11"/>
  <c r="S155" i="11"/>
  <c r="R155" i="11"/>
  <c r="Q155" i="11"/>
  <c r="P155" i="11"/>
  <c r="M155" i="11"/>
  <c r="L155" i="11"/>
  <c r="U154" i="11"/>
  <c r="N154" i="11"/>
  <c r="R154" i="11"/>
  <c r="O154" i="11"/>
  <c r="K154" i="11"/>
  <c r="U152" i="11"/>
  <c r="R152" i="11"/>
  <c r="O152" i="11"/>
  <c r="K152" i="11"/>
  <c r="I152" i="11"/>
  <c r="H152" i="11"/>
  <c r="W150" i="11"/>
  <c r="V150" i="11"/>
  <c r="T150" i="11"/>
  <c r="S150" i="11"/>
  <c r="Q150" i="11"/>
  <c r="P150" i="11"/>
  <c r="O150" i="11"/>
  <c r="M150" i="11"/>
  <c r="L150" i="11"/>
  <c r="K150" i="11"/>
  <c r="U149" i="11"/>
  <c r="R149" i="11"/>
  <c r="O149" i="11"/>
  <c r="N149" i="11"/>
  <c r="K149" i="11"/>
  <c r="U147" i="11"/>
  <c r="U150" i="11"/>
  <c r="R147" i="11"/>
  <c r="R150" i="11"/>
  <c r="O147" i="11"/>
  <c r="K147" i="11"/>
  <c r="I147" i="11"/>
  <c r="H147" i="11"/>
  <c r="W145" i="11"/>
  <c r="V145" i="11"/>
  <c r="U145" i="11"/>
  <c r="T145" i="11"/>
  <c r="S145" i="11"/>
  <c r="R145" i="11"/>
  <c r="Q145" i="11"/>
  <c r="P145" i="11"/>
  <c r="M145" i="11"/>
  <c r="L145" i="11"/>
  <c r="U144" i="11"/>
  <c r="N144" i="11"/>
  <c r="R144" i="11"/>
  <c r="O144" i="11"/>
  <c r="K144" i="11"/>
  <c r="U142" i="11"/>
  <c r="R142" i="11"/>
  <c r="O142" i="11"/>
  <c r="K142" i="11"/>
  <c r="I142" i="11"/>
  <c r="H142" i="11"/>
  <c r="W140" i="11"/>
  <c r="V140" i="11"/>
  <c r="T140" i="11"/>
  <c r="S140" i="11"/>
  <c r="Q140" i="11"/>
  <c r="P140" i="11"/>
  <c r="O140" i="11"/>
  <c r="M140" i="11"/>
  <c r="L140" i="11"/>
  <c r="K140" i="11"/>
  <c r="U139" i="11"/>
  <c r="R139" i="11"/>
  <c r="O139" i="11"/>
  <c r="N139" i="11"/>
  <c r="K139" i="11"/>
  <c r="U137" i="11"/>
  <c r="U140" i="11"/>
  <c r="R137" i="11"/>
  <c r="R140" i="11"/>
  <c r="O137" i="11"/>
  <c r="K137" i="11"/>
  <c r="I137" i="11"/>
  <c r="H137" i="11"/>
  <c r="W135" i="11"/>
  <c r="V135" i="11"/>
  <c r="U135" i="11"/>
  <c r="T135" i="11"/>
  <c r="S135" i="11"/>
  <c r="R135" i="11"/>
  <c r="Q135" i="11"/>
  <c r="P135" i="11"/>
  <c r="M135" i="11"/>
  <c r="L135" i="11"/>
  <c r="U134" i="11"/>
  <c r="N134" i="11"/>
  <c r="R134" i="11"/>
  <c r="O134" i="11"/>
  <c r="K134" i="11"/>
  <c r="U132" i="11"/>
  <c r="R132" i="11"/>
  <c r="O132" i="11"/>
  <c r="K132" i="11"/>
  <c r="I132" i="11"/>
  <c r="H132" i="11"/>
  <c r="W130" i="11"/>
  <c r="V130" i="11"/>
  <c r="T130" i="11"/>
  <c r="S130" i="11"/>
  <c r="Q130" i="11"/>
  <c r="P130" i="11"/>
  <c r="O130" i="11"/>
  <c r="M130" i="11"/>
  <c r="L130" i="11"/>
  <c r="K130" i="11"/>
  <c r="U129" i="11"/>
  <c r="R129" i="11"/>
  <c r="O129" i="11"/>
  <c r="N129" i="11"/>
  <c r="K129" i="11"/>
  <c r="U127" i="11"/>
  <c r="U130" i="11"/>
  <c r="R127" i="11"/>
  <c r="R130" i="11"/>
  <c r="O127" i="11"/>
  <c r="K127" i="11"/>
  <c r="I127" i="11"/>
  <c r="H127" i="11"/>
  <c r="W125" i="11"/>
  <c r="V125" i="11"/>
  <c r="U125" i="11"/>
  <c r="T125" i="11"/>
  <c r="S125" i="11"/>
  <c r="R125" i="11"/>
  <c r="Q125" i="11"/>
  <c r="P125" i="11"/>
  <c r="M125" i="11"/>
  <c r="L125" i="11"/>
  <c r="U124" i="11"/>
  <c r="N124" i="11"/>
  <c r="R124" i="11"/>
  <c r="O124" i="11"/>
  <c r="K124" i="11"/>
  <c r="U122" i="11"/>
  <c r="R122" i="11"/>
  <c r="O122" i="11"/>
  <c r="K122" i="11"/>
  <c r="K125" i="11"/>
  <c r="I122" i="11"/>
  <c r="H122" i="11"/>
  <c r="W120" i="11"/>
  <c r="V120" i="11"/>
  <c r="T120" i="11"/>
  <c r="S120" i="11"/>
  <c r="R120" i="11"/>
  <c r="Q120" i="11"/>
  <c r="P120" i="11"/>
  <c r="M120" i="11"/>
  <c r="L120" i="11"/>
  <c r="K120" i="11"/>
  <c r="U119" i="11"/>
  <c r="R119" i="11"/>
  <c r="O119" i="11"/>
  <c r="N119" i="11"/>
  <c r="K119" i="11"/>
  <c r="U117" i="11"/>
  <c r="U120" i="11"/>
  <c r="R117" i="11"/>
  <c r="O117" i="11"/>
  <c r="O120" i="11"/>
  <c r="K117" i="11"/>
  <c r="I117" i="11"/>
  <c r="H117" i="11"/>
  <c r="W115" i="11"/>
  <c r="V115" i="11"/>
  <c r="T115" i="11"/>
  <c r="S115" i="11"/>
  <c r="R115" i="11"/>
  <c r="Q115" i="11"/>
  <c r="P115" i="11"/>
  <c r="M115" i="11"/>
  <c r="L115" i="11"/>
  <c r="U114" i="11"/>
  <c r="N114" i="11"/>
  <c r="R114" i="11"/>
  <c r="O114" i="11"/>
  <c r="K114" i="11"/>
  <c r="U112" i="11"/>
  <c r="U115" i="11"/>
  <c r="R112" i="11"/>
  <c r="O112" i="11"/>
  <c r="K112" i="11"/>
  <c r="K115" i="11"/>
  <c r="I112" i="11"/>
  <c r="H112" i="11"/>
  <c r="W110" i="11"/>
  <c r="V110" i="11"/>
  <c r="T110" i="11"/>
  <c r="S110" i="11"/>
  <c r="R110" i="11"/>
  <c r="Q110" i="11"/>
  <c r="P110" i="11"/>
  <c r="M110" i="11"/>
  <c r="L110" i="11"/>
  <c r="K110" i="11"/>
  <c r="U109" i="11"/>
  <c r="R109" i="11"/>
  <c r="O109" i="11"/>
  <c r="N109" i="11"/>
  <c r="K109" i="11"/>
  <c r="U107" i="11"/>
  <c r="U110" i="11"/>
  <c r="R107" i="11"/>
  <c r="O107" i="11"/>
  <c r="N107" i="11"/>
  <c r="N110" i="11"/>
  <c r="K107" i="11"/>
  <c r="I107" i="11"/>
  <c r="H107" i="11"/>
  <c r="W105" i="11"/>
  <c r="V105" i="11"/>
  <c r="T105" i="11"/>
  <c r="S105" i="11"/>
  <c r="R105" i="11"/>
  <c r="Q105" i="11"/>
  <c r="P105" i="11"/>
  <c r="M105" i="11"/>
  <c r="L105" i="11"/>
  <c r="U104" i="11"/>
  <c r="U105" i="11"/>
  <c r="R104" i="11"/>
  <c r="O104" i="11"/>
  <c r="K104" i="11"/>
  <c r="U102" i="11"/>
  <c r="R102" i="11"/>
  <c r="O102" i="11"/>
  <c r="K102" i="11"/>
  <c r="K105" i="11"/>
  <c r="I102" i="11"/>
  <c r="H102" i="11"/>
  <c r="W100" i="11"/>
  <c r="V100" i="11"/>
  <c r="T100" i="11"/>
  <c r="S100" i="11"/>
  <c r="R100" i="11"/>
  <c r="Q100" i="11"/>
  <c r="P100" i="11"/>
  <c r="M100" i="11"/>
  <c r="L100" i="11"/>
  <c r="K100" i="11"/>
  <c r="U99" i="11"/>
  <c r="R99" i="11"/>
  <c r="O99" i="11"/>
  <c r="N99" i="11"/>
  <c r="K99" i="11"/>
  <c r="U97" i="11"/>
  <c r="U100" i="11"/>
  <c r="R97" i="11"/>
  <c r="O97" i="11"/>
  <c r="N97" i="11"/>
  <c r="J97" i="11"/>
  <c r="K97" i="11"/>
  <c r="I97" i="11"/>
  <c r="H97" i="11"/>
  <c r="W95" i="11"/>
  <c r="V95" i="11"/>
  <c r="U95" i="11"/>
  <c r="T95" i="11"/>
  <c r="S95" i="11"/>
  <c r="R95" i="11"/>
  <c r="Q95" i="11"/>
  <c r="P95" i="11"/>
  <c r="M95" i="11"/>
  <c r="L95" i="11"/>
  <c r="U94" i="11"/>
  <c r="R94" i="11"/>
  <c r="O94" i="11"/>
  <c r="N94" i="11"/>
  <c r="K94" i="11"/>
  <c r="U92" i="11"/>
  <c r="R92" i="11"/>
  <c r="O92" i="11"/>
  <c r="K92" i="11"/>
  <c r="K95" i="11"/>
  <c r="I92" i="11"/>
  <c r="H92" i="11"/>
  <c r="W90" i="11"/>
  <c r="V90" i="11"/>
  <c r="T90" i="11"/>
  <c r="S90" i="11"/>
  <c r="Q90" i="11"/>
  <c r="P90" i="11"/>
  <c r="M90" i="11"/>
  <c r="L90" i="11"/>
  <c r="K90" i="11"/>
  <c r="U89" i="11"/>
  <c r="R89" i="11"/>
  <c r="O89" i="11"/>
  <c r="O90" i="11"/>
  <c r="K89" i="11"/>
  <c r="U87" i="11"/>
  <c r="U90" i="11"/>
  <c r="R87" i="11"/>
  <c r="R90" i="11"/>
  <c r="O87" i="11"/>
  <c r="K87" i="11"/>
  <c r="I87" i="11"/>
  <c r="H87" i="11"/>
  <c r="W85" i="11"/>
  <c r="V85" i="11"/>
  <c r="U85" i="11"/>
  <c r="T85" i="11"/>
  <c r="S85" i="11"/>
  <c r="R85" i="11"/>
  <c r="Q85" i="11"/>
  <c r="P85" i="11"/>
  <c r="M85" i="11"/>
  <c r="L85" i="11"/>
  <c r="U84" i="11"/>
  <c r="N84" i="11"/>
  <c r="R84" i="11"/>
  <c r="O84" i="11"/>
  <c r="K84" i="11"/>
  <c r="U82" i="11"/>
  <c r="R82" i="11"/>
  <c r="O82" i="11"/>
  <c r="K82" i="11"/>
  <c r="K85" i="11"/>
  <c r="I82" i="11"/>
  <c r="H82" i="11"/>
  <c r="W80" i="11"/>
  <c r="V80" i="11"/>
  <c r="T80" i="11"/>
  <c r="S80" i="11"/>
  <c r="R80" i="11"/>
  <c r="Q80" i="11"/>
  <c r="P80" i="11"/>
  <c r="M80" i="11"/>
  <c r="L80" i="11"/>
  <c r="K80" i="11"/>
  <c r="U79" i="11"/>
  <c r="R79" i="11"/>
  <c r="O79" i="11"/>
  <c r="N79" i="11"/>
  <c r="K79" i="11"/>
  <c r="U77" i="11"/>
  <c r="U80" i="11"/>
  <c r="R77" i="11"/>
  <c r="O77" i="11"/>
  <c r="O80" i="11"/>
  <c r="K77" i="11"/>
  <c r="I77" i="11"/>
  <c r="H77" i="11"/>
  <c r="W75" i="11"/>
  <c r="V75" i="11"/>
  <c r="T75" i="11"/>
  <c r="S75" i="11"/>
  <c r="R75" i="11"/>
  <c r="Q75" i="11"/>
  <c r="P75" i="11"/>
  <c r="M75" i="11"/>
  <c r="L75" i="11"/>
  <c r="U74" i="11"/>
  <c r="N74" i="11"/>
  <c r="R74" i="11"/>
  <c r="O74" i="11"/>
  <c r="K74" i="11"/>
  <c r="U72" i="11"/>
  <c r="U75" i="11"/>
  <c r="R72" i="11"/>
  <c r="O72" i="11"/>
  <c r="K72" i="11"/>
  <c r="K75" i="11"/>
  <c r="I72" i="11"/>
  <c r="H72" i="11"/>
  <c r="W70" i="11"/>
  <c r="V70" i="11"/>
  <c r="T70" i="11"/>
  <c r="S70" i="11"/>
  <c r="R70" i="11"/>
  <c r="Q70" i="11"/>
  <c r="P70" i="11"/>
  <c r="M70" i="11"/>
  <c r="L70" i="11"/>
  <c r="K70" i="11"/>
  <c r="U69" i="11"/>
  <c r="R69" i="11"/>
  <c r="O69" i="11"/>
  <c r="N69" i="11"/>
  <c r="K69" i="11"/>
  <c r="U67" i="11"/>
  <c r="U70" i="11"/>
  <c r="R67" i="11"/>
  <c r="O67" i="11"/>
  <c r="N67" i="11"/>
  <c r="N70" i="11"/>
  <c r="K67" i="11"/>
  <c r="I67" i="11"/>
  <c r="H67" i="11"/>
  <c r="W65" i="11"/>
  <c r="V65" i="11"/>
  <c r="T65" i="11"/>
  <c r="S65" i="11"/>
  <c r="R65" i="11"/>
  <c r="Q65" i="11"/>
  <c r="P65" i="11"/>
  <c r="M65" i="11"/>
  <c r="L65" i="11"/>
  <c r="U64" i="11"/>
  <c r="U369" i="11"/>
  <c r="R64" i="11"/>
  <c r="O64" i="11"/>
  <c r="K64" i="11"/>
  <c r="U62" i="11"/>
  <c r="R62" i="11"/>
  <c r="O62" i="11"/>
  <c r="K62" i="11"/>
  <c r="K65" i="11"/>
  <c r="I62" i="11"/>
  <c r="H62" i="11"/>
  <c r="W60" i="11"/>
  <c r="V60" i="11"/>
  <c r="T60" i="11"/>
  <c r="S60" i="11"/>
  <c r="Q60" i="11"/>
  <c r="P60" i="11"/>
  <c r="M60" i="11"/>
  <c r="L60" i="11"/>
  <c r="U59" i="11"/>
  <c r="R59" i="11"/>
  <c r="O59" i="11"/>
  <c r="O60" i="11"/>
  <c r="N59" i="11"/>
  <c r="J59" i="11"/>
  <c r="K59" i="11"/>
  <c r="U57" i="11"/>
  <c r="U60" i="11"/>
  <c r="R57" i="11"/>
  <c r="N57" i="11"/>
  <c r="O57" i="11"/>
  <c r="K57" i="11"/>
  <c r="K60" i="11"/>
  <c r="I57" i="11"/>
  <c r="H57" i="11"/>
  <c r="W55" i="11"/>
  <c r="V55" i="11"/>
  <c r="T55" i="11"/>
  <c r="S55" i="11"/>
  <c r="Q55" i="11"/>
  <c r="P55" i="11"/>
  <c r="M55" i="11"/>
  <c r="L55" i="11"/>
  <c r="U54" i="11"/>
  <c r="R54" i="11"/>
  <c r="O54" i="11"/>
  <c r="O55" i="11"/>
  <c r="N54" i="11"/>
  <c r="J54" i="11"/>
  <c r="K54" i="11"/>
  <c r="U52" i="11"/>
  <c r="U55" i="11"/>
  <c r="R52" i="11"/>
  <c r="R55" i="11"/>
  <c r="O52" i="11"/>
  <c r="K52" i="11"/>
  <c r="K55" i="11"/>
  <c r="I52" i="11"/>
  <c r="H52" i="11"/>
  <c r="W50" i="11"/>
  <c r="V50" i="11"/>
  <c r="T50" i="11"/>
  <c r="S50" i="11"/>
  <c r="Q50" i="11"/>
  <c r="P50" i="11"/>
  <c r="M50" i="11"/>
  <c r="L50" i="11"/>
  <c r="U49" i="11"/>
  <c r="R49" i="11"/>
  <c r="N49" i="11"/>
  <c r="J49" i="11"/>
  <c r="O49" i="11"/>
  <c r="O50" i="11"/>
  <c r="K49" i="11"/>
  <c r="U47" i="11"/>
  <c r="U50" i="11"/>
  <c r="R47" i="11"/>
  <c r="R50" i="11"/>
  <c r="O47" i="11"/>
  <c r="N47" i="11"/>
  <c r="N50" i="11"/>
  <c r="K47" i="11"/>
  <c r="K50" i="11"/>
  <c r="I47" i="11"/>
  <c r="H47" i="11"/>
  <c r="W45" i="11"/>
  <c r="V45" i="11"/>
  <c r="T45" i="11"/>
  <c r="S45" i="11"/>
  <c r="Q45" i="11"/>
  <c r="P45" i="11"/>
  <c r="M45" i="11"/>
  <c r="L45" i="11"/>
  <c r="U44" i="11"/>
  <c r="R44" i="11"/>
  <c r="O44" i="11"/>
  <c r="N44" i="11"/>
  <c r="J44" i="11"/>
  <c r="K44" i="11"/>
  <c r="U42" i="11"/>
  <c r="U45" i="11"/>
  <c r="R42" i="11"/>
  <c r="R45" i="11"/>
  <c r="O42" i="11"/>
  <c r="K42" i="11"/>
  <c r="I42" i="11"/>
  <c r="H42" i="11"/>
  <c r="W40" i="11"/>
  <c r="V40" i="11"/>
  <c r="T40" i="11"/>
  <c r="S40" i="11"/>
  <c r="Q40" i="11"/>
  <c r="P40" i="11"/>
  <c r="M40" i="11"/>
  <c r="L40" i="11"/>
  <c r="U39" i="11"/>
  <c r="R39" i="11"/>
  <c r="O39" i="11"/>
  <c r="O40" i="11"/>
  <c r="N39" i="11"/>
  <c r="J39" i="11"/>
  <c r="K39" i="11"/>
  <c r="U37" i="11"/>
  <c r="U40" i="11"/>
  <c r="R37" i="11"/>
  <c r="N37" i="11"/>
  <c r="O37" i="11"/>
  <c r="K37" i="11"/>
  <c r="K40" i="11"/>
  <c r="I37" i="11"/>
  <c r="H37" i="11"/>
  <c r="W35" i="11"/>
  <c r="V35" i="11"/>
  <c r="T35" i="11"/>
  <c r="S35" i="11"/>
  <c r="Q35" i="11"/>
  <c r="P35" i="11"/>
  <c r="M35" i="11"/>
  <c r="L35" i="11"/>
  <c r="U34" i="11"/>
  <c r="R34" i="11"/>
  <c r="O34" i="11"/>
  <c r="O35" i="11"/>
  <c r="N34" i="11"/>
  <c r="J34" i="11"/>
  <c r="K34" i="11"/>
  <c r="U32" i="11"/>
  <c r="U35" i="11"/>
  <c r="R32" i="11"/>
  <c r="R35" i="11"/>
  <c r="O32" i="11"/>
  <c r="K32" i="11"/>
  <c r="K35" i="11"/>
  <c r="I32" i="11"/>
  <c r="H32" i="11"/>
  <c r="W30" i="11"/>
  <c r="V30" i="11"/>
  <c r="T30" i="11"/>
  <c r="S30" i="11"/>
  <c r="Q30" i="11"/>
  <c r="P30" i="11"/>
  <c r="M30" i="11"/>
  <c r="L30" i="11"/>
  <c r="U29" i="11"/>
  <c r="R29" i="11"/>
  <c r="N29" i="11"/>
  <c r="J29" i="11"/>
  <c r="O29" i="11"/>
  <c r="O30" i="11"/>
  <c r="K29" i="11"/>
  <c r="U27" i="11"/>
  <c r="U30" i="11"/>
  <c r="R27" i="11"/>
  <c r="R30" i="11"/>
  <c r="O27" i="11"/>
  <c r="N27" i="11"/>
  <c r="K27" i="11"/>
  <c r="K30" i="11"/>
  <c r="I27" i="11"/>
  <c r="H27" i="11"/>
  <c r="W25" i="11"/>
  <c r="V25" i="11"/>
  <c r="T25" i="11"/>
  <c r="S25" i="11"/>
  <c r="Q25" i="11"/>
  <c r="P25" i="11"/>
  <c r="M25" i="11"/>
  <c r="L25" i="11"/>
  <c r="U24" i="11"/>
  <c r="R24" i="11"/>
  <c r="O24" i="11"/>
  <c r="N24" i="11"/>
  <c r="J24" i="11"/>
  <c r="K24" i="11"/>
  <c r="U22" i="11"/>
  <c r="U25" i="11"/>
  <c r="R22" i="11"/>
  <c r="R25" i="11"/>
  <c r="O22" i="11"/>
  <c r="K22" i="11"/>
  <c r="I22" i="11"/>
  <c r="H22" i="11"/>
  <c r="W20" i="11"/>
  <c r="V20" i="11"/>
  <c r="T20" i="11"/>
  <c r="S20" i="11"/>
  <c r="Q20" i="11"/>
  <c r="P20" i="11"/>
  <c r="M20" i="11"/>
  <c r="L20" i="11"/>
  <c r="U19" i="11"/>
  <c r="R19" i="11"/>
  <c r="O19" i="11"/>
  <c r="N19" i="11"/>
  <c r="K19" i="11"/>
  <c r="U17" i="11"/>
  <c r="R17" i="11"/>
  <c r="R367" i="11"/>
  <c r="O17" i="11"/>
  <c r="K17" i="11"/>
  <c r="I17" i="11"/>
  <c r="H17" i="11"/>
  <c r="I42" i="13"/>
  <c r="J38" i="13"/>
  <c r="L147" i="13"/>
  <c r="M144" i="13"/>
  <c r="L144" i="13"/>
  <c r="L135" i="13"/>
  <c r="M132" i="13"/>
  <c r="L132" i="13"/>
  <c r="H132" i="13"/>
  <c r="N93" i="13"/>
  <c r="L93" i="13"/>
  <c r="L96" i="13"/>
  <c r="H370" i="13"/>
  <c r="M42" i="13"/>
  <c r="I48" i="13"/>
  <c r="H48" i="13"/>
  <c r="H123" i="13"/>
  <c r="H99" i="13"/>
  <c r="M43" i="13"/>
  <c r="H144" i="13"/>
  <c r="H63" i="13"/>
  <c r="H147" i="13"/>
  <c r="I17" i="13"/>
  <c r="H17" i="13"/>
  <c r="I182" i="13"/>
  <c r="H182" i="13"/>
  <c r="L48" i="13"/>
  <c r="L366" i="13"/>
  <c r="H366" i="13"/>
  <c r="J184" i="13"/>
  <c r="J43" i="13"/>
  <c r="M184" i="13"/>
  <c r="L184" i="13"/>
  <c r="I96" i="13"/>
  <c r="H96" i="13"/>
  <c r="J93" i="13"/>
  <c r="I93" i="13"/>
  <c r="H159" i="13"/>
  <c r="H75" i="13"/>
  <c r="K196" i="13"/>
  <c r="K184" i="13"/>
  <c r="K13" i="13"/>
  <c r="K747" i="13"/>
  <c r="J183" i="13"/>
  <c r="I183" i="13"/>
  <c r="H183" i="13"/>
  <c r="H135" i="13"/>
  <c r="I113" i="12"/>
  <c r="I116" i="12"/>
  <c r="M116" i="12"/>
  <c r="I33" i="12"/>
  <c r="I36" i="12"/>
  <c r="M36" i="12"/>
  <c r="M26" i="12"/>
  <c r="I23" i="12"/>
  <c r="I26" i="12"/>
  <c r="I53" i="12"/>
  <c r="I56" i="12"/>
  <c r="M56" i="12"/>
  <c r="I63" i="12"/>
  <c r="I66" i="12"/>
  <c r="M66" i="12"/>
  <c r="I123" i="12"/>
  <c r="I126" i="12"/>
  <c r="M126" i="12"/>
  <c r="I43" i="12"/>
  <c r="I46" i="12"/>
  <c r="M46" i="12"/>
  <c r="I73" i="12"/>
  <c r="I76" i="12"/>
  <c r="M76" i="12"/>
  <c r="M150" i="12"/>
  <c r="I20" i="12"/>
  <c r="I150" i="12"/>
  <c r="M131" i="12"/>
  <c r="I128" i="12"/>
  <c r="I131" i="12"/>
  <c r="I136" i="12"/>
  <c r="I21" i="12"/>
  <c r="I83" i="12"/>
  <c r="I86" i="12"/>
  <c r="M86" i="12"/>
  <c r="I93" i="12"/>
  <c r="I96" i="12"/>
  <c r="M96" i="12"/>
  <c r="M136" i="12"/>
  <c r="I103" i="12"/>
  <c r="I106" i="12"/>
  <c r="M106" i="12"/>
  <c r="M148" i="12"/>
  <c r="M151" i="12"/>
  <c r="N60" i="11"/>
  <c r="J57" i="11"/>
  <c r="J60" i="11"/>
  <c r="U542" i="11"/>
  <c r="U545" i="11"/>
  <c r="U540" i="11"/>
  <c r="N40" i="11"/>
  <c r="J37" i="11"/>
  <c r="J40" i="11"/>
  <c r="N30" i="11"/>
  <c r="J22" i="11"/>
  <c r="J25" i="11"/>
  <c r="R370" i="11"/>
  <c r="R20" i="11"/>
  <c r="K25" i="11"/>
  <c r="O25" i="11"/>
  <c r="R40" i="11"/>
  <c r="K45" i="11"/>
  <c r="O45" i="11"/>
  <c r="R60" i="11"/>
  <c r="N92" i="11"/>
  <c r="O95" i="11"/>
  <c r="J104" i="11"/>
  <c r="U315" i="11"/>
  <c r="U335" i="11"/>
  <c r="U345" i="11"/>
  <c r="J532" i="11"/>
  <c r="J535" i="11"/>
  <c r="K535" i="11"/>
  <c r="N32" i="11"/>
  <c r="N35" i="11"/>
  <c r="N52" i="11"/>
  <c r="J62" i="11"/>
  <c r="J67" i="11"/>
  <c r="N82" i="11"/>
  <c r="O85" i="11"/>
  <c r="N87" i="11"/>
  <c r="N89" i="11"/>
  <c r="J94" i="11"/>
  <c r="J107" i="11"/>
  <c r="J110" i="11"/>
  <c r="N122" i="11"/>
  <c r="O125" i="11"/>
  <c r="N127" i="11"/>
  <c r="N132" i="11"/>
  <c r="N135" i="11"/>
  <c r="O135" i="11"/>
  <c r="N142" i="11"/>
  <c r="N145" i="11"/>
  <c r="O145" i="11"/>
  <c r="N152" i="11"/>
  <c r="N155" i="11"/>
  <c r="O155" i="11"/>
  <c r="N162" i="11"/>
  <c r="N165" i="11"/>
  <c r="O165" i="11"/>
  <c r="N172" i="11"/>
  <c r="N175" i="11"/>
  <c r="O175" i="11"/>
  <c r="N182" i="11"/>
  <c r="N185" i="11"/>
  <c r="O185" i="11"/>
  <c r="N192" i="11"/>
  <c r="N195" i="11"/>
  <c r="O195" i="11"/>
  <c r="N202" i="11"/>
  <c r="N205" i="11"/>
  <c r="O205" i="11"/>
  <c r="N212" i="11"/>
  <c r="N215" i="11"/>
  <c r="O215" i="11"/>
  <c r="N222" i="11"/>
  <c r="N225" i="11"/>
  <c r="O225" i="11"/>
  <c r="N232" i="11"/>
  <c r="N235" i="11"/>
  <c r="O235" i="11"/>
  <c r="N242" i="11"/>
  <c r="N245" i="11"/>
  <c r="O245" i="11"/>
  <c r="N252" i="11"/>
  <c r="N255" i="11"/>
  <c r="O255" i="11"/>
  <c r="N262" i="11"/>
  <c r="N265" i="11"/>
  <c r="O265" i="11"/>
  <c r="N272" i="11"/>
  <c r="N275" i="11"/>
  <c r="O275" i="11"/>
  <c r="N282" i="11"/>
  <c r="N285" i="11"/>
  <c r="O285" i="11"/>
  <c r="N292" i="11"/>
  <c r="N295" i="11"/>
  <c r="O295" i="11"/>
  <c r="N302" i="11"/>
  <c r="N305" i="11"/>
  <c r="O305" i="11"/>
  <c r="U378" i="11"/>
  <c r="N375" i="11"/>
  <c r="U400" i="11"/>
  <c r="U403" i="11"/>
  <c r="I542" i="11"/>
  <c r="K537" i="11"/>
  <c r="J407" i="11"/>
  <c r="K410" i="11"/>
  <c r="O425" i="11"/>
  <c r="N422" i="11"/>
  <c r="N499" i="11"/>
  <c r="U500" i="11"/>
  <c r="P542" i="11"/>
  <c r="N100" i="11"/>
  <c r="U325" i="11"/>
  <c r="K367" i="11"/>
  <c r="K370" i="11"/>
  <c r="U367" i="11"/>
  <c r="U370" i="11"/>
  <c r="U20" i="11"/>
  <c r="O369" i="11"/>
  <c r="K20" i="11"/>
  <c r="O20" i="11"/>
  <c r="N22" i="11"/>
  <c r="N25" i="11"/>
  <c r="J32" i="11"/>
  <c r="J35" i="11"/>
  <c r="N42" i="11"/>
  <c r="N45" i="11"/>
  <c r="N62" i="11"/>
  <c r="O65" i="11"/>
  <c r="O367" i="11"/>
  <c r="O370" i="11"/>
  <c r="N64" i="11"/>
  <c r="N369" i="11"/>
  <c r="J74" i="11"/>
  <c r="O100" i="11"/>
  <c r="N102" i="11"/>
  <c r="N105" i="11"/>
  <c r="O105" i="11"/>
  <c r="N104" i="11"/>
  <c r="J114" i="11"/>
  <c r="K315" i="11"/>
  <c r="J312" i="11"/>
  <c r="J315" i="11"/>
  <c r="J314" i="11"/>
  <c r="K325" i="11"/>
  <c r="J322" i="11"/>
  <c r="J324" i="11"/>
  <c r="K335" i="11"/>
  <c r="J332" i="11"/>
  <c r="J334" i="11"/>
  <c r="K345" i="11"/>
  <c r="J342" i="11"/>
  <c r="J345" i="11"/>
  <c r="J344" i="11"/>
  <c r="J355" i="11"/>
  <c r="U383" i="11"/>
  <c r="N380" i="11"/>
  <c r="N383" i="11"/>
  <c r="N515" i="11"/>
  <c r="H367" i="11"/>
  <c r="N17" i="11"/>
  <c r="J19" i="11"/>
  <c r="R369" i="11"/>
  <c r="J27" i="11"/>
  <c r="J30" i="11"/>
  <c r="J47" i="11"/>
  <c r="J50" i="11"/>
  <c r="U65" i="11"/>
  <c r="O70" i="11"/>
  <c r="N72" i="11"/>
  <c r="O75" i="11"/>
  <c r="N77" i="11"/>
  <c r="J84" i="11"/>
  <c r="O110" i="11"/>
  <c r="N112" i="11"/>
  <c r="O115" i="11"/>
  <c r="N117" i="11"/>
  <c r="J124" i="11"/>
  <c r="K135" i="11"/>
  <c r="J134" i="11"/>
  <c r="K145" i="11"/>
  <c r="J142" i="11"/>
  <c r="J145" i="11"/>
  <c r="J144" i="11"/>
  <c r="K155" i="11"/>
  <c r="J152" i="11"/>
  <c r="J155" i="11"/>
  <c r="J154" i="11"/>
  <c r="K165" i="11"/>
  <c r="J162" i="11"/>
  <c r="J164" i="11"/>
  <c r="K175" i="11"/>
  <c r="J174" i="11"/>
  <c r="K185" i="11"/>
  <c r="J182" i="11"/>
  <c r="J185" i="11"/>
  <c r="J184" i="11"/>
  <c r="K195" i="11"/>
  <c r="J192" i="11"/>
  <c r="J195" i="11"/>
  <c r="J194" i="11"/>
  <c r="K205" i="11"/>
  <c r="J202" i="11"/>
  <c r="J204" i="11"/>
  <c r="K215" i="11"/>
  <c r="J214" i="11"/>
  <c r="K225" i="11"/>
  <c r="J222" i="11"/>
  <c r="J225" i="11"/>
  <c r="J224" i="11"/>
  <c r="K235" i="11"/>
  <c r="J234" i="11"/>
  <c r="K245" i="11"/>
  <c r="J242" i="11"/>
  <c r="J244" i="11"/>
  <c r="K255" i="11"/>
  <c r="J254" i="11"/>
  <c r="K265" i="11"/>
  <c r="J262" i="11"/>
  <c r="J265" i="11"/>
  <c r="J264" i="11"/>
  <c r="K275" i="11"/>
  <c r="J272" i="11"/>
  <c r="J275" i="11"/>
  <c r="J274" i="11"/>
  <c r="K285" i="11"/>
  <c r="J282" i="11"/>
  <c r="J284" i="11"/>
  <c r="K295" i="11"/>
  <c r="J294" i="11"/>
  <c r="K305" i="11"/>
  <c r="J302" i="11"/>
  <c r="J305" i="11"/>
  <c r="J304" i="11"/>
  <c r="N315" i="11"/>
  <c r="N325" i="11"/>
  <c r="N335" i="11"/>
  <c r="N345" i="11"/>
  <c r="N355" i="11"/>
  <c r="N359" i="11"/>
  <c r="J359" i="11"/>
  <c r="O360" i="11"/>
  <c r="K383" i="11"/>
  <c r="R403" i="11"/>
  <c r="U410" i="11"/>
  <c r="N407" i="11"/>
  <c r="N430" i="11"/>
  <c r="N464" i="11"/>
  <c r="J464" i="11"/>
  <c r="O465" i="11"/>
  <c r="O470" i="11"/>
  <c r="N467" i="11"/>
  <c r="N504" i="11"/>
  <c r="J504" i="11"/>
  <c r="O505" i="11"/>
  <c r="N137" i="11"/>
  <c r="N147" i="11"/>
  <c r="N157" i="11"/>
  <c r="N167" i="11"/>
  <c r="N177" i="11"/>
  <c r="N187" i="11"/>
  <c r="N197" i="11"/>
  <c r="N207" i="11"/>
  <c r="N217" i="11"/>
  <c r="N227" i="11"/>
  <c r="N237" i="11"/>
  <c r="N247" i="11"/>
  <c r="N257" i="11"/>
  <c r="N267" i="11"/>
  <c r="N277" i="11"/>
  <c r="N287" i="11"/>
  <c r="N297" i="11"/>
  <c r="N307" i="11"/>
  <c r="N317" i="11"/>
  <c r="N327" i="11"/>
  <c r="N337" i="11"/>
  <c r="N347" i="11"/>
  <c r="K355" i="11"/>
  <c r="O355" i="11"/>
  <c r="J362" i="11"/>
  <c r="N364" i="11"/>
  <c r="J364" i="11"/>
  <c r="R402" i="11"/>
  <c r="R544" i="11"/>
  <c r="N387" i="11"/>
  <c r="J387" i="11"/>
  <c r="O388" i="11"/>
  <c r="O393" i="11"/>
  <c r="O398" i="11"/>
  <c r="N395" i="11"/>
  <c r="R537" i="11"/>
  <c r="O539" i="11"/>
  <c r="O544" i="11"/>
  <c r="N409" i="11"/>
  <c r="J424" i="11"/>
  <c r="K539" i="11"/>
  <c r="K544" i="11"/>
  <c r="J427" i="11"/>
  <c r="J430" i="11"/>
  <c r="K430" i="11"/>
  <c r="N440" i="11"/>
  <c r="O440" i="11"/>
  <c r="N442" i="11"/>
  <c r="J462" i="11"/>
  <c r="K465" i="11"/>
  <c r="N475" i="11"/>
  <c r="J492" i="11"/>
  <c r="J495" i="11"/>
  <c r="K495" i="11"/>
  <c r="J512" i="11"/>
  <c r="K515" i="11"/>
  <c r="U535" i="11"/>
  <c r="N532" i="11"/>
  <c r="N535" i="11"/>
  <c r="K400" i="11"/>
  <c r="K403" i="11"/>
  <c r="J375" i="11"/>
  <c r="K378" i="11"/>
  <c r="U388" i="11"/>
  <c r="N385" i="11"/>
  <c r="N388" i="11"/>
  <c r="K393" i="11"/>
  <c r="J390" i="11"/>
  <c r="J393" i="11"/>
  <c r="O490" i="11"/>
  <c r="N487" i="11"/>
  <c r="J499" i="11"/>
  <c r="O510" i="11"/>
  <c r="N507" i="11"/>
  <c r="P544" i="11"/>
  <c r="I367" i="11"/>
  <c r="K369" i="11"/>
  <c r="J69" i="11"/>
  <c r="J79" i="11"/>
  <c r="J89" i="11"/>
  <c r="J99" i="11"/>
  <c r="J100" i="11"/>
  <c r="J109" i="11"/>
  <c r="J119" i="11"/>
  <c r="J129" i="11"/>
  <c r="J139" i="11"/>
  <c r="J149" i="11"/>
  <c r="J159" i="11"/>
  <c r="J169" i="11"/>
  <c r="J179" i="11"/>
  <c r="J189" i="11"/>
  <c r="J199" i="11"/>
  <c r="J209" i="11"/>
  <c r="J219" i="11"/>
  <c r="J229" i="11"/>
  <c r="J239" i="11"/>
  <c r="J249" i="11"/>
  <c r="J259" i="11"/>
  <c r="J269" i="11"/>
  <c r="J279" i="11"/>
  <c r="J289" i="11"/>
  <c r="J299" i="11"/>
  <c r="J309" i="11"/>
  <c r="O315" i="11"/>
  <c r="J319" i="11"/>
  <c r="O325" i="11"/>
  <c r="J329" i="11"/>
  <c r="O335" i="11"/>
  <c r="J339" i="11"/>
  <c r="O345" i="11"/>
  <c r="J349" i="11"/>
  <c r="N357" i="11"/>
  <c r="N360" i="11"/>
  <c r="O400" i="11"/>
  <c r="N377" i="11"/>
  <c r="O402" i="11"/>
  <c r="O378" i="11"/>
  <c r="K388" i="11"/>
  <c r="H391" i="11"/>
  <c r="R430" i="11"/>
  <c r="N429" i="11"/>
  <c r="J429" i="11"/>
  <c r="J444" i="11"/>
  <c r="O445" i="11"/>
  <c r="J447" i="11"/>
  <c r="J450" i="11"/>
  <c r="N455" i="11"/>
  <c r="N462" i="11"/>
  <c r="U465" i="11"/>
  <c r="J472" i="11"/>
  <c r="J475" i="11"/>
  <c r="K475" i="11"/>
  <c r="U495" i="11"/>
  <c r="N492" i="11"/>
  <c r="N495" i="11"/>
  <c r="J519" i="11"/>
  <c r="O530" i="11"/>
  <c r="N527" i="11"/>
  <c r="L542" i="11"/>
  <c r="L545" i="11"/>
  <c r="W544" i="11"/>
  <c r="R383" i="11"/>
  <c r="N382" i="11"/>
  <c r="J382" i="11"/>
  <c r="J397" i="11"/>
  <c r="O415" i="11"/>
  <c r="N412" i="11"/>
  <c r="J417" i="11"/>
  <c r="J420" i="11"/>
  <c r="O435" i="11"/>
  <c r="N432" i="11"/>
  <c r="J437" i="11"/>
  <c r="J440" i="11"/>
  <c r="J452" i="11"/>
  <c r="K455" i="11"/>
  <c r="U455" i="11"/>
  <c r="N479" i="11"/>
  <c r="J479" i="11"/>
  <c r="U480" i="11"/>
  <c r="N484" i="11"/>
  <c r="J484" i="11"/>
  <c r="O485" i="11"/>
  <c r="N519" i="11"/>
  <c r="U520" i="11"/>
  <c r="N524" i="11"/>
  <c r="J524" i="11"/>
  <c r="O525" i="11"/>
  <c r="M542" i="11"/>
  <c r="M545" i="11"/>
  <c r="T542" i="11"/>
  <c r="T545" i="11"/>
  <c r="Q544" i="11"/>
  <c r="Q545" i="11"/>
  <c r="R410" i="11"/>
  <c r="R455" i="11"/>
  <c r="N454" i="11"/>
  <c r="J454" i="11"/>
  <c r="N457" i="11"/>
  <c r="J469" i="11"/>
  <c r="R475" i="11"/>
  <c r="N474" i="11"/>
  <c r="J474" i="11"/>
  <c r="N482" i="11"/>
  <c r="N485" i="11"/>
  <c r="J489" i="11"/>
  <c r="R495" i="11"/>
  <c r="N494" i="11"/>
  <c r="J494" i="11"/>
  <c r="N502" i="11"/>
  <c r="J509" i="11"/>
  <c r="R515" i="11"/>
  <c r="N514" i="11"/>
  <c r="J514" i="11"/>
  <c r="N522" i="11"/>
  <c r="N525" i="11"/>
  <c r="J529" i="11"/>
  <c r="R535" i="11"/>
  <c r="N534" i="11"/>
  <c r="J534" i="11"/>
  <c r="S542" i="11"/>
  <c r="S545" i="11"/>
  <c r="W542" i="11"/>
  <c r="W545" i="11"/>
  <c r="M540" i="11"/>
  <c r="I544" i="11"/>
  <c r="I545" i="11"/>
  <c r="I546" i="11"/>
  <c r="O537" i="11"/>
  <c r="U539" i="11"/>
  <c r="U544" i="11"/>
  <c r="N447" i="11"/>
  <c r="N450" i="11"/>
  <c r="J459" i="11"/>
  <c r="O480" i="11"/>
  <c r="N477" i="11"/>
  <c r="J482" i="11"/>
  <c r="J485" i="11"/>
  <c r="O500" i="11"/>
  <c r="N497" i="11"/>
  <c r="O520" i="11"/>
  <c r="N517" i="11"/>
  <c r="M544" i="11"/>
  <c r="L540" i="11"/>
  <c r="P540" i="11"/>
  <c r="T540" i="11"/>
  <c r="S540" i="11"/>
  <c r="W540" i="11"/>
  <c r="E56" i="10"/>
  <c r="D56" i="10"/>
  <c r="E54" i="10"/>
  <c r="D54" i="10"/>
  <c r="E51" i="10"/>
  <c r="D51" i="10"/>
  <c r="D46" i="10"/>
  <c r="E45" i="10"/>
  <c r="D45" i="10"/>
  <c r="D47" i="10"/>
  <c r="E41" i="10"/>
  <c r="D41" i="10"/>
  <c r="F40" i="10"/>
  <c r="E40" i="10"/>
  <c r="E39" i="10"/>
  <c r="D40" i="10"/>
  <c r="D39" i="10"/>
  <c r="E38" i="10"/>
  <c r="E37" i="10"/>
  <c r="D38" i="10"/>
  <c r="F38" i="10"/>
  <c r="F30" i="10"/>
  <c r="F29" i="10"/>
  <c r="E29" i="10"/>
  <c r="D29" i="10"/>
  <c r="F28" i="10"/>
  <c r="F56" i="10"/>
  <c r="F27" i="10"/>
  <c r="F26" i="10"/>
  <c r="F51" i="10"/>
  <c r="F25" i="10"/>
  <c r="F46" i="10"/>
  <c r="E25" i="10"/>
  <c r="E46" i="10"/>
  <c r="E47" i="10"/>
  <c r="D25" i="10"/>
  <c r="D24" i="10"/>
  <c r="D31" i="10"/>
  <c r="F21" i="10"/>
  <c r="F19" i="10"/>
  <c r="F52" i="10"/>
  <c r="F20" i="10"/>
  <c r="E19" i="10"/>
  <c r="E52" i="10"/>
  <c r="D19" i="10"/>
  <c r="D52" i="10"/>
  <c r="F18" i="10"/>
  <c r="F17" i="10"/>
  <c r="F16" i="10"/>
  <c r="F15" i="10"/>
  <c r="E15" i="10"/>
  <c r="E58" i="10"/>
  <c r="D15" i="10"/>
  <c r="D14" i="10"/>
  <c r="D22" i="10"/>
  <c r="E14" i="10"/>
  <c r="E22" i="10"/>
  <c r="F13" i="10"/>
  <c r="F12" i="10"/>
  <c r="F45" i="10"/>
  <c r="F47" i="10"/>
  <c r="F11" i="10"/>
  <c r="E11" i="10"/>
  <c r="E50" i="10"/>
  <c r="E53" i="10"/>
  <c r="E55" i="10"/>
  <c r="E57" i="10"/>
  <c r="D11" i="10"/>
  <c r="D35" i="10"/>
  <c r="G103" i="9"/>
  <c r="F102" i="9"/>
  <c r="F101" i="9"/>
  <c r="E102" i="9"/>
  <c r="E101" i="9"/>
  <c r="G101" i="9"/>
  <c r="G100" i="9"/>
  <c r="F99" i="9"/>
  <c r="E99" i="9"/>
  <c r="G99" i="9"/>
  <c r="F98" i="9"/>
  <c r="G97" i="9"/>
  <c r="G96" i="9"/>
  <c r="F96" i="9"/>
  <c r="E96" i="9"/>
  <c r="F95" i="9"/>
  <c r="G95" i="9"/>
  <c r="E95" i="9"/>
  <c r="G94" i="9"/>
  <c r="F93" i="9"/>
  <c r="G93" i="9"/>
  <c r="E93" i="9"/>
  <c r="E92" i="9"/>
  <c r="G91" i="9"/>
  <c r="G90" i="9"/>
  <c r="F89" i="9"/>
  <c r="G89" i="9"/>
  <c r="E89" i="9"/>
  <c r="G88" i="9"/>
  <c r="G87" i="9"/>
  <c r="G86" i="9"/>
  <c r="F86" i="9"/>
  <c r="E86" i="9"/>
  <c r="G85" i="9"/>
  <c r="G84" i="9"/>
  <c r="F84" i="9"/>
  <c r="E84" i="9"/>
  <c r="F83" i="9"/>
  <c r="G83" i="9"/>
  <c r="E83" i="9"/>
  <c r="G82" i="9"/>
  <c r="G81" i="9"/>
  <c r="G80" i="9"/>
  <c r="G79" i="9"/>
  <c r="E79" i="9"/>
  <c r="E78" i="9"/>
  <c r="G78" i="9"/>
  <c r="G77" i="9"/>
  <c r="G76" i="9"/>
  <c r="G75" i="9"/>
  <c r="G74" i="9"/>
  <c r="G73" i="9"/>
  <c r="G72" i="9"/>
  <c r="F71" i="9"/>
  <c r="G71" i="9"/>
  <c r="E71" i="9"/>
  <c r="G70" i="9"/>
  <c r="E69" i="9"/>
  <c r="G69" i="9"/>
  <c r="G68" i="9"/>
  <c r="E66" i="9"/>
  <c r="G66" i="9"/>
  <c r="G65" i="9"/>
  <c r="G64" i="9"/>
  <c r="E64" i="9"/>
  <c r="E63" i="9"/>
  <c r="G63" i="9"/>
  <c r="G62" i="9"/>
  <c r="G61" i="9"/>
  <c r="G60" i="9"/>
  <c r="G59" i="9"/>
  <c r="G58" i="9"/>
  <c r="G57" i="9"/>
  <c r="G56" i="9"/>
  <c r="G55" i="9"/>
  <c r="F55" i="9"/>
  <c r="E55" i="9"/>
  <c r="G54" i="9"/>
  <c r="G53" i="9"/>
  <c r="G52" i="9"/>
  <c r="G51" i="9"/>
  <c r="G50" i="9"/>
  <c r="G49" i="9"/>
  <c r="G48" i="9"/>
  <c r="G47" i="9"/>
  <c r="F46" i="9"/>
  <c r="E46" i="9"/>
  <c r="G45" i="9"/>
  <c r="F44" i="9"/>
  <c r="E44" i="9"/>
  <c r="G44" i="9"/>
  <c r="G43" i="9"/>
  <c r="G42" i="9"/>
  <c r="G41" i="9"/>
  <c r="G40" i="9"/>
  <c r="F40" i="9"/>
  <c r="E40" i="9"/>
  <c r="G39" i="9"/>
  <c r="G38" i="9"/>
  <c r="E38" i="9"/>
  <c r="F37" i="9"/>
  <c r="E37" i="9"/>
  <c r="G37" i="9"/>
  <c r="G36" i="9"/>
  <c r="F35" i="9"/>
  <c r="F34" i="9"/>
  <c r="G34" i="9"/>
  <c r="G33" i="9"/>
  <c r="F32" i="9"/>
  <c r="G32" i="9"/>
  <c r="G31" i="9"/>
  <c r="F30" i="9"/>
  <c r="F29" i="9"/>
  <c r="G29" i="9"/>
  <c r="G28" i="9"/>
  <c r="E27" i="9"/>
  <c r="E26" i="9"/>
  <c r="G26" i="9"/>
  <c r="G25" i="9"/>
  <c r="G24" i="9"/>
  <c r="G23" i="9"/>
  <c r="E23" i="9"/>
  <c r="G22" i="9"/>
  <c r="G21" i="9"/>
  <c r="E21" i="9"/>
  <c r="E20" i="9"/>
  <c r="G20" i="9"/>
  <c r="G19" i="9"/>
  <c r="G18" i="9"/>
  <c r="F17" i="9"/>
  <c r="F16" i="9"/>
  <c r="G16" i="9"/>
  <c r="G15" i="9"/>
  <c r="E14" i="9"/>
  <c r="G14" i="9"/>
  <c r="G13" i="9"/>
  <c r="G12" i="9"/>
  <c r="F11" i="9"/>
  <c r="G11" i="9"/>
  <c r="E11" i="9"/>
  <c r="E10" i="9"/>
  <c r="Q159" i="8"/>
  <c r="P159" i="8"/>
  <c r="O159" i="8"/>
  <c r="N159" i="8"/>
  <c r="M159" i="8"/>
  <c r="L159" i="8"/>
  <c r="D159" i="8"/>
  <c r="K159" i="8"/>
  <c r="J159" i="8"/>
  <c r="I159" i="8"/>
  <c r="H159" i="8"/>
  <c r="G159" i="8"/>
  <c r="F159" i="8"/>
  <c r="E159" i="8"/>
  <c r="D158" i="8"/>
  <c r="D157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D154" i="8"/>
  <c r="D153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D150" i="8"/>
  <c r="D149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D146" i="8"/>
  <c r="D145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D142" i="8"/>
  <c r="D141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D138" i="8"/>
  <c r="D137" i="8"/>
  <c r="Q135" i="8"/>
  <c r="Q107" i="8"/>
  <c r="P135" i="8"/>
  <c r="P107" i="8"/>
  <c r="O135" i="8"/>
  <c r="N135" i="8"/>
  <c r="M135" i="8"/>
  <c r="M107" i="8"/>
  <c r="L135" i="8"/>
  <c r="K135" i="8"/>
  <c r="J135" i="8"/>
  <c r="I135" i="8"/>
  <c r="I107" i="8"/>
  <c r="H135" i="8"/>
  <c r="H107" i="8"/>
  <c r="F135" i="8"/>
  <c r="E135" i="8"/>
  <c r="E107" i="8"/>
  <c r="I134" i="8"/>
  <c r="G134" i="8"/>
  <c r="G135" i="8"/>
  <c r="G107" i="8"/>
  <c r="D134" i="8"/>
  <c r="D133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D131" i="8"/>
  <c r="E131" i="8"/>
  <c r="D130" i="8"/>
  <c r="D129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D127" i="8"/>
  <c r="E127" i="8"/>
  <c r="D126" i="8"/>
  <c r="D125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D123" i="8"/>
  <c r="E123" i="8"/>
  <c r="D122" i="8"/>
  <c r="D121" i="8"/>
  <c r="Q119" i="8"/>
  <c r="P119" i="8"/>
  <c r="O119" i="8"/>
  <c r="N119" i="8"/>
  <c r="N107" i="8"/>
  <c r="M119" i="8"/>
  <c r="L119" i="8"/>
  <c r="K119" i="8"/>
  <c r="J119" i="8"/>
  <c r="I119" i="8"/>
  <c r="H119" i="8"/>
  <c r="G119" i="8"/>
  <c r="F119" i="8"/>
  <c r="D119" i="8"/>
  <c r="E119" i="8"/>
  <c r="D118" i="8"/>
  <c r="D117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D115" i="8"/>
  <c r="E115" i="8"/>
  <c r="D114" i="8"/>
  <c r="D113" i="8"/>
  <c r="Q111" i="8"/>
  <c r="P111" i="8"/>
  <c r="O111" i="8"/>
  <c r="N111" i="8"/>
  <c r="M111" i="8"/>
  <c r="L111" i="8"/>
  <c r="K111" i="8"/>
  <c r="J111" i="8"/>
  <c r="J107" i="8"/>
  <c r="I111" i="8"/>
  <c r="H111" i="8"/>
  <c r="G111" i="8"/>
  <c r="F111" i="8"/>
  <c r="D111" i="8"/>
  <c r="E111" i="8"/>
  <c r="D110" i="8"/>
  <c r="D109" i="8"/>
  <c r="O107" i="8"/>
  <c r="K107" i="8"/>
  <c r="Q106" i="8"/>
  <c r="Q162" i="8"/>
  <c r="P106" i="8"/>
  <c r="P162" i="8"/>
  <c r="O106" i="8"/>
  <c r="N106" i="8"/>
  <c r="M106" i="8"/>
  <c r="M162" i="8"/>
  <c r="L106" i="8"/>
  <c r="L162" i="8"/>
  <c r="K106" i="8"/>
  <c r="J106" i="8"/>
  <c r="I106" i="8"/>
  <c r="H106" i="8"/>
  <c r="H162" i="8"/>
  <c r="F106" i="8"/>
  <c r="E106" i="8"/>
  <c r="Q105" i="8"/>
  <c r="P105" i="8"/>
  <c r="O105" i="8"/>
  <c r="O161" i="8"/>
  <c r="N105" i="8"/>
  <c r="N161" i="8"/>
  <c r="N163" i="8"/>
  <c r="M105" i="8"/>
  <c r="L105" i="8"/>
  <c r="K105" i="8"/>
  <c r="K161" i="8"/>
  <c r="J105" i="8"/>
  <c r="J161" i="8"/>
  <c r="J163" i="8"/>
  <c r="I105" i="8"/>
  <c r="H105" i="8"/>
  <c r="G105" i="8"/>
  <c r="G161" i="8"/>
  <c r="F105" i="8"/>
  <c r="D105" i="8"/>
  <c r="E105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D102" i="8"/>
  <c r="D101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D98" i="8"/>
  <c r="D97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D94" i="8"/>
  <c r="D93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D90" i="8"/>
  <c r="D89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D86" i="8"/>
  <c r="D85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F82" i="8"/>
  <c r="D82" i="8"/>
  <c r="D81" i="8"/>
  <c r="Q79" i="8"/>
  <c r="Q15" i="8"/>
  <c r="P79" i="8"/>
  <c r="O79" i="8"/>
  <c r="N79" i="8"/>
  <c r="M79" i="8"/>
  <c r="M15" i="8"/>
  <c r="L79" i="8"/>
  <c r="K79" i="8"/>
  <c r="J79" i="8"/>
  <c r="I79" i="8"/>
  <c r="H79" i="8"/>
  <c r="G79" i="8"/>
  <c r="F79" i="8"/>
  <c r="E79" i="8"/>
  <c r="D79" i="8"/>
  <c r="F78" i="8"/>
  <c r="D78" i="8"/>
  <c r="D77" i="8"/>
  <c r="Q75" i="8"/>
  <c r="P75" i="8"/>
  <c r="O75" i="8"/>
  <c r="N75" i="8"/>
  <c r="M75" i="8"/>
  <c r="L75" i="8"/>
  <c r="K75" i="8"/>
  <c r="J75" i="8"/>
  <c r="I75" i="8"/>
  <c r="H75" i="8"/>
  <c r="G75" i="8"/>
  <c r="F75" i="8"/>
  <c r="D75" i="8"/>
  <c r="E75" i="8"/>
  <c r="D74" i="8"/>
  <c r="D73" i="8"/>
  <c r="Q71" i="8"/>
  <c r="P71" i="8"/>
  <c r="O71" i="8"/>
  <c r="N71" i="8"/>
  <c r="N15" i="8"/>
  <c r="M71" i="8"/>
  <c r="L71" i="8"/>
  <c r="K71" i="8"/>
  <c r="J71" i="8"/>
  <c r="J15" i="8"/>
  <c r="I71" i="8"/>
  <c r="H71" i="8"/>
  <c r="G71" i="8"/>
  <c r="F71" i="8"/>
  <c r="D71" i="8"/>
  <c r="E71" i="8"/>
  <c r="F70" i="8"/>
  <c r="D70" i="8"/>
  <c r="D69" i="8"/>
  <c r="Q67" i="8"/>
  <c r="P67" i="8"/>
  <c r="O67" i="8"/>
  <c r="N67" i="8"/>
  <c r="M67" i="8"/>
  <c r="L67" i="8"/>
  <c r="K67" i="8"/>
  <c r="J67" i="8"/>
  <c r="H67" i="8"/>
  <c r="G67" i="8"/>
  <c r="I66" i="8"/>
  <c r="G66" i="8"/>
  <c r="F66" i="8"/>
  <c r="F67" i="8"/>
  <c r="E66" i="8"/>
  <c r="E14" i="8"/>
  <c r="D66" i="8"/>
  <c r="D65" i="8"/>
  <c r="Q63" i="8"/>
  <c r="P63" i="8"/>
  <c r="O63" i="8"/>
  <c r="N63" i="8"/>
  <c r="M63" i="8"/>
  <c r="L63" i="8"/>
  <c r="K63" i="8"/>
  <c r="J63" i="8"/>
  <c r="I63" i="8"/>
  <c r="H63" i="8"/>
  <c r="G63" i="8"/>
  <c r="D63" i="8"/>
  <c r="F63" i="8"/>
  <c r="E63" i="8"/>
  <c r="D62" i="8"/>
  <c r="D61" i="8"/>
  <c r="Q59" i="8"/>
  <c r="P59" i="8"/>
  <c r="O59" i="8"/>
  <c r="N59" i="8"/>
  <c r="M59" i="8"/>
  <c r="L59" i="8"/>
  <c r="K59" i="8"/>
  <c r="J59" i="8"/>
  <c r="I59" i="8"/>
  <c r="H59" i="8"/>
  <c r="G59" i="8"/>
  <c r="D59" i="8"/>
  <c r="F59" i="8"/>
  <c r="E59" i="8"/>
  <c r="D58" i="8"/>
  <c r="D57" i="8"/>
  <c r="Q55" i="8"/>
  <c r="P55" i="8"/>
  <c r="O55" i="8"/>
  <c r="N55" i="8"/>
  <c r="M55" i="8"/>
  <c r="L55" i="8"/>
  <c r="K55" i="8"/>
  <c r="J55" i="8"/>
  <c r="I55" i="8"/>
  <c r="H55" i="8"/>
  <c r="G55" i="8"/>
  <c r="D55" i="8"/>
  <c r="F55" i="8"/>
  <c r="E55" i="8"/>
  <c r="D54" i="8"/>
  <c r="D53" i="8"/>
  <c r="Q51" i="8"/>
  <c r="P51" i="8"/>
  <c r="O51" i="8"/>
  <c r="N51" i="8"/>
  <c r="M51" i="8"/>
  <c r="L51" i="8"/>
  <c r="K51" i="8"/>
  <c r="J51" i="8"/>
  <c r="I51" i="8"/>
  <c r="H51" i="8"/>
  <c r="G51" i="8"/>
  <c r="D51" i="8"/>
  <c r="F51" i="8"/>
  <c r="E51" i="8"/>
  <c r="D50" i="8"/>
  <c r="D49" i="8"/>
  <c r="Q47" i="8"/>
  <c r="P47" i="8"/>
  <c r="O47" i="8"/>
  <c r="N47" i="8"/>
  <c r="M47" i="8"/>
  <c r="L47" i="8"/>
  <c r="K47" i="8"/>
  <c r="J47" i="8"/>
  <c r="I47" i="8"/>
  <c r="H47" i="8"/>
  <c r="G47" i="8"/>
  <c r="E47" i="8"/>
  <c r="F46" i="8"/>
  <c r="D45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D42" i="8"/>
  <c r="D41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D38" i="8"/>
  <c r="D37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D34" i="8"/>
  <c r="D33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D30" i="8"/>
  <c r="D29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D26" i="8"/>
  <c r="D25" i="8"/>
  <c r="Q23" i="8"/>
  <c r="P23" i="8"/>
  <c r="O23" i="8"/>
  <c r="N23" i="8"/>
  <c r="M23" i="8"/>
  <c r="L23" i="8"/>
  <c r="K23" i="8"/>
  <c r="J23" i="8"/>
  <c r="I23" i="8"/>
  <c r="H23" i="8"/>
  <c r="D23" i="8"/>
  <c r="G23" i="8"/>
  <c r="F23" i="8"/>
  <c r="E23" i="8"/>
  <c r="D22" i="8"/>
  <c r="D21" i="8"/>
  <c r="Q19" i="8"/>
  <c r="P19" i="8"/>
  <c r="P15" i="8"/>
  <c r="O19" i="8"/>
  <c r="N19" i="8"/>
  <c r="M19" i="8"/>
  <c r="L19" i="8"/>
  <c r="K19" i="8"/>
  <c r="J19" i="8"/>
  <c r="I19" i="8"/>
  <c r="H19" i="8"/>
  <c r="H15" i="8"/>
  <c r="G19" i="8"/>
  <c r="F19" i="8"/>
  <c r="E19" i="8"/>
  <c r="D18" i="8"/>
  <c r="D17" i="8"/>
  <c r="L15" i="8"/>
  <c r="Q14" i="8"/>
  <c r="P14" i="8"/>
  <c r="O14" i="8"/>
  <c r="O162" i="8"/>
  <c r="N14" i="8"/>
  <c r="N162" i="8"/>
  <c r="M14" i="8"/>
  <c r="L14" i="8"/>
  <c r="K14" i="8"/>
  <c r="K162" i="8"/>
  <c r="J14" i="8"/>
  <c r="J162" i="8"/>
  <c r="H14" i="8"/>
  <c r="G14" i="8"/>
  <c r="F14" i="8"/>
  <c r="F162" i="8"/>
  <c r="Q13" i="8"/>
  <c r="Q161" i="8"/>
  <c r="P13" i="8"/>
  <c r="P161" i="8"/>
  <c r="O13" i="8"/>
  <c r="N13" i="8"/>
  <c r="M13" i="8"/>
  <c r="M161" i="8"/>
  <c r="L13" i="8"/>
  <c r="L161" i="8"/>
  <c r="K13" i="8"/>
  <c r="J13" i="8"/>
  <c r="I13" i="8"/>
  <c r="I161" i="8"/>
  <c r="H13" i="8"/>
  <c r="H161" i="8"/>
  <c r="G13" i="8"/>
  <c r="F13" i="8"/>
  <c r="E13" i="8"/>
  <c r="E161" i="8"/>
  <c r="D13" i="8"/>
  <c r="D161" i="8"/>
  <c r="N198" i="4"/>
  <c r="M198" i="4"/>
  <c r="L198" i="4"/>
  <c r="K198" i="4"/>
  <c r="G198" i="4"/>
  <c r="F198" i="4"/>
  <c r="N197" i="4"/>
  <c r="N199" i="4"/>
  <c r="M197" i="4"/>
  <c r="M199" i="4"/>
  <c r="L197" i="4"/>
  <c r="L199" i="4"/>
  <c r="G197" i="4"/>
  <c r="G199" i="4"/>
  <c r="F197" i="4"/>
  <c r="F199" i="4"/>
  <c r="F404" i="2"/>
  <c r="F403" i="2"/>
  <c r="G403" i="2"/>
  <c r="E404" i="2"/>
  <c r="E403" i="2"/>
  <c r="F391" i="2"/>
  <c r="E391" i="2"/>
  <c r="G391" i="2"/>
  <c r="F388" i="2"/>
  <c r="E388" i="2"/>
  <c r="G388" i="2"/>
  <c r="F386" i="2"/>
  <c r="E386" i="2"/>
  <c r="G386" i="2"/>
  <c r="F384" i="2"/>
  <c r="E384" i="2"/>
  <c r="G384" i="2"/>
  <c r="F382" i="2"/>
  <c r="G382" i="2"/>
  <c r="E382" i="2"/>
  <c r="F379" i="2"/>
  <c r="E379" i="2"/>
  <c r="G379" i="2"/>
  <c r="F377" i="2"/>
  <c r="F373" i="2"/>
  <c r="E377" i="2"/>
  <c r="F374" i="2"/>
  <c r="E374" i="2"/>
  <c r="F367" i="2"/>
  <c r="E367" i="2"/>
  <c r="F360" i="2"/>
  <c r="E360" i="2"/>
  <c r="F358" i="2"/>
  <c r="E358" i="2"/>
  <c r="G358" i="2"/>
  <c r="F356" i="2"/>
  <c r="F355" i="2"/>
  <c r="E356" i="2"/>
  <c r="E355" i="2"/>
  <c r="G355" i="2"/>
  <c r="F349" i="2"/>
  <c r="F348" i="2"/>
  <c r="E349" i="2"/>
  <c r="E348" i="2"/>
  <c r="F345" i="2"/>
  <c r="E345" i="2"/>
  <c r="G345" i="2"/>
  <c r="F339" i="2"/>
  <c r="E339" i="2"/>
  <c r="G339" i="2"/>
  <c r="F333" i="2"/>
  <c r="E333" i="2"/>
  <c r="F327" i="2"/>
  <c r="E327" i="2"/>
  <c r="F319" i="2"/>
  <c r="F318" i="2"/>
  <c r="E319" i="2"/>
  <c r="G319" i="2"/>
  <c r="F290" i="2"/>
  <c r="E290" i="2"/>
  <c r="G290" i="2"/>
  <c r="F287" i="2"/>
  <c r="E287" i="2"/>
  <c r="F285" i="2"/>
  <c r="E285" i="2"/>
  <c r="G285" i="2"/>
  <c r="F282" i="2"/>
  <c r="F281" i="2"/>
  <c r="E282" i="2"/>
  <c r="E281" i="2"/>
  <c r="G281" i="2"/>
  <c r="F273" i="2"/>
  <c r="E273" i="2"/>
  <c r="G273" i="2"/>
  <c r="F271" i="2"/>
  <c r="G271" i="2"/>
  <c r="E271" i="2"/>
  <c r="F267" i="2"/>
  <c r="E267" i="2"/>
  <c r="F265" i="2"/>
  <c r="G265" i="2"/>
  <c r="E265" i="2"/>
  <c r="E264" i="2"/>
  <c r="F241" i="2"/>
  <c r="E241" i="2"/>
  <c r="G241" i="2"/>
  <c r="F237" i="2"/>
  <c r="E237" i="2"/>
  <c r="G237" i="2"/>
  <c r="F232" i="2"/>
  <c r="E232" i="2"/>
  <c r="G232" i="2"/>
  <c r="F227" i="2"/>
  <c r="G227" i="2"/>
  <c r="E227" i="2"/>
  <c r="F220" i="2"/>
  <c r="E220" i="2"/>
  <c r="G220" i="2"/>
  <c r="F218" i="2"/>
  <c r="G218" i="2"/>
  <c r="E218" i="2"/>
  <c r="F214" i="2"/>
  <c r="F213" i="2"/>
  <c r="E214" i="2"/>
  <c r="G214" i="2"/>
  <c r="F198" i="2"/>
  <c r="E198" i="2"/>
  <c r="G198" i="2"/>
  <c r="F196" i="2"/>
  <c r="E196" i="2"/>
  <c r="F191" i="2"/>
  <c r="E191" i="2"/>
  <c r="G191" i="2"/>
  <c r="F185" i="2"/>
  <c r="E185" i="2"/>
  <c r="G185" i="2"/>
  <c r="F177" i="2"/>
  <c r="E177" i="2"/>
  <c r="G177" i="2"/>
  <c r="F172" i="2"/>
  <c r="E172" i="2"/>
  <c r="F166" i="2"/>
  <c r="E166" i="2"/>
  <c r="G166" i="2"/>
  <c r="F160" i="2"/>
  <c r="E160" i="2"/>
  <c r="G160" i="2"/>
  <c r="F154" i="2"/>
  <c r="E154" i="2"/>
  <c r="G154" i="2"/>
  <c r="F149" i="2"/>
  <c r="E149" i="2"/>
  <c r="G149" i="2"/>
  <c r="F142" i="2"/>
  <c r="F141" i="2"/>
  <c r="E142" i="2"/>
  <c r="E141" i="2"/>
  <c r="G141" i="2"/>
  <c r="G142" i="2"/>
  <c r="F139" i="2"/>
  <c r="E139" i="2"/>
  <c r="G139" i="2"/>
  <c r="F137" i="2"/>
  <c r="F136" i="2"/>
  <c r="G136" i="2"/>
  <c r="E137" i="2"/>
  <c r="E136" i="2"/>
  <c r="F134" i="2"/>
  <c r="G134" i="2"/>
  <c r="F133" i="2"/>
  <c r="E134" i="2"/>
  <c r="E133" i="2"/>
  <c r="G133" i="2"/>
  <c r="F125" i="2"/>
  <c r="E125" i="2"/>
  <c r="G125" i="2"/>
  <c r="F104" i="2"/>
  <c r="E104" i="2"/>
  <c r="E103" i="2"/>
  <c r="F100" i="2"/>
  <c r="G100" i="2"/>
  <c r="F99" i="2"/>
  <c r="G99" i="2"/>
  <c r="E100" i="2"/>
  <c r="E99" i="2"/>
  <c r="E88" i="2"/>
  <c r="G88" i="2"/>
  <c r="F97" i="2"/>
  <c r="E97" i="2"/>
  <c r="G97" i="2"/>
  <c r="F92" i="2"/>
  <c r="E92" i="2"/>
  <c r="F89" i="2"/>
  <c r="F88" i="2"/>
  <c r="E89" i="2"/>
  <c r="F86" i="2"/>
  <c r="F85" i="2"/>
  <c r="E86" i="2"/>
  <c r="G86" i="2"/>
  <c r="E85" i="2"/>
  <c r="G85" i="2"/>
  <c r="F82" i="2"/>
  <c r="E82" i="2"/>
  <c r="G82" i="2"/>
  <c r="F78" i="2"/>
  <c r="F77" i="2"/>
  <c r="E78" i="2"/>
  <c r="F74" i="2"/>
  <c r="F75" i="2"/>
  <c r="E75" i="2"/>
  <c r="G75" i="2"/>
  <c r="E74" i="2"/>
  <c r="F70" i="2"/>
  <c r="E70" i="2"/>
  <c r="G70" i="2"/>
  <c r="F62" i="2"/>
  <c r="F61" i="2"/>
  <c r="E62" i="2"/>
  <c r="G62" i="2"/>
  <c r="F17" i="2"/>
  <c r="F16" i="2"/>
  <c r="E17" i="2"/>
  <c r="E16" i="2"/>
  <c r="G16" i="2"/>
  <c r="F11" i="2"/>
  <c r="F12" i="2"/>
  <c r="E12" i="2"/>
  <c r="E11" i="2"/>
  <c r="G12" i="2"/>
  <c r="G13" i="2"/>
  <c r="G14" i="2"/>
  <c r="G15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3" i="2"/>
  <c r="G64" i="2"/>
  <c r="G65" i="2"/>
  <c r="G66" i="2"/>
  <c r="G67" i="2"/>
  <c r="G68" i="2"/>
  <c r="G69" i="2"/>
  <c r="G71" i="2"/>
  <c r="G72" i="2"/>
  <c r="G73" i="2"/>
  <c r="G76" i="2"/>
  <c r="G78" i="2"/>
  <c r="G79" i="2"/>
  <c r="G80" i="2"/>
  <c r="G81" i="2"/>
  <c r="G83" i="2"/>
  <c r="G84" i="2"/>
  <c r="G87" i="2"/>
  <c r="G89" i="2"/>
  <c r="G90" i="2"/>
  <c r="G91" i="2"/>
  <c r="G92" i="2"/>
  <c r="G93" i="2"/>
  <c r="G94" i="2"/>
  <c r="G95" i="2"/>
  <c r="G96" i="2"/>
  <c r="G98" i="2"/>
  <c r="G101" i="2"/>
  <c r="G102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6" i="2"/>
  <c r="G127" i="2"/>
  <c r="G128" i="2"/>
  <c r="G129" i="2"/>
  <c r="G130" i="2"/>
  <c r="G131" i="2"/>
  <c r="G132" i="2"/>
  <c r="G135" i="2"/>
  <c r="G138" i="2"/>
  <c r="G140" i="2"/>
  <c r="G143" i="2"/>
  <c r="G144" i="2"/>
  <c r="G145" i="2"/>
  <c r="G146" i="2"/>
  <c r="G147" i="2"/>
  <c r="G148" i="2"/>
  <c r="G150" i="2"/>
  <c r="G151" i="2"/>
  <c r="G152" i="2"/>
  <c r="G153" i="2"/>
  <c r="G155" i="2"/>
  <c r="G156" i="2"/>
  <c r="G157" i="2"/>
  <c r="G158" i="2"/>
  <c r="G159" i="2"/>
  <c r="G161" i="2"/>
  <c r="G162" i="2"/>
  <c r="G163" i="2"/>
  <c r="G164" i="2"/>
  <c r="G165" i="2"/>
  <c r="G167" i="2"/>
  <c r="G168" i="2"/>
  <c r="G169" i="2"/>
  <c r="G170" i="2"/>
  <c r="G171" i="2"/>
  <c r="G172" i="2"/>
  <c r="G173" i="2"/>
  <c r="G174" i="2"/>
  <c r="G175" i="2"/>
  <c r="G176" i="2"/>
  <c r="G178" i="2"/>
  <c r="G179" i="2"/>
  <c r="G180" i="2"/>
  <c r="G181" i="2"/>
  <c r="G182" i="2"/>
  <c r="G183" i="2"/>
  <c r="G184" i="2"/>
  <c r="G186" i="2"/>
  <c r="G187" i="2"/>
  <c r="G188" i="2"/>
  <c r="G189" i="2"/>
  <c r="G190" i="2"/>
  <c r="G192" i="2"/>
  <c r="G193" i="2"/>
  <c r="G194" i="2"/>
  <c r="G195" i="2"/>
  <c r="G196" i="2"/>
  <c r="G197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5" i="2"/>
  <c r="G216" i="2"/>
  <c r="G217" i="2"/>
  <c r="G219" i="2"/>
  <c r="G221" i="2"/>
  <c r="G222" i="2"/>
  <c r="G223" i="2"/>
  <c r="G224" i="2"/>
  <c r="G225" i="2"/>
  <c r="G226" i="2"/>
  <c r="G228" i="2"/>
  <c r="G229" i="2"/>
  <c r="G230" i="2"/>
  <c r="G231" i="2"/>
  <c r="G233" i="2"/>
  <c r="G234" i="2"/>
  <c r="G235" i="2"/>
  <c r="G236" i="2"/>
  <c r="G238" i="2"/>
  <c r="G239" i="2"/>
  <c r="G240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6" i="2"/>
  <c r="G267" i="2"/>
  <c r="G268" i="2"/>
  <c r="G269" i="2"/>
  <c r="G270" i="2"/>
  <c r="G272" i="2"/>
  <c r="G274" i="2"/>
  <c r="G275" i="2"/>
  <c r="G276" i="2"/>
  <c r="G277" i="2"/>
  <c r="G278" i="2"/>
  <c r="G279" i="2"/>
  <c r="G280" i="2"/>
  <c r="G283" i="2"/>
  <c r="G284" i="2"/>
  <c r="G286" i="2"/>
  <c r="G287" i="2"/>
  <c r="G288" i="2"/>
  <c r="G289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40" i="2"/>
  <c r="G341" i="2"/>
  <c r="G342" i="2"/>
  <c r="G343" i="2"/>
  <c r="G344" i="2"/>
  <c r="G346" i="2"/>
  <c r="G347" i="2"/>
  <c r="G350" i="2"/>
  <c r="G351" i="2"/>
  <c r="G352" i="2"/>
  <c r="G353" i="2"/>
  <c r="G354" i="2"/>
  <c r="G356" i="2"/>
  <c r="G357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5" i="2"/>
  <c r="G376" i="2"/>
  <c r="G377" i="2"/>
  <c r="G378" i="2"/>
  <c r="G380" i="2"/>
  <c r="G381" i="2"/>
  <c r="G383" i="2"/>
  <c r="G385" i="2"/>
  <c r="G387" i="2"/>
  <c r="G389" i="2"/>
  <c r="G390" i="2"/>
  <c r="G392" i="2"/>
  <c r="G393" i="2"/>
  <c r="G394" i="2"/>
  <c r="G395" i="2"/>
  <c r="G396" i="2"/>
  <c r="G397" i="2"/>
  <c r="G398" i="2"/>
  <c r="G399" i="2"/>
  <c r="G400" i="2"/>
  <c r="G401" i="2"/>
  <c r="G402" i="2"/>
  <c r="G405" i="2"/>
  <c r="G406" i="2"/>
  <c r="G407" i="2"/>
  <c r="G408" i="2"/>
  <c r="G409" i="2"/>
  <c r="G410" i="2"/>
  <c r="K153" i="1"/>
  <c r="K147" i="1"/>
  <c r="K148" i="1"/>
  <c r="H414" i="1"/>
  <c r="G414" i="1"/>
  <c r="O408" i="1"/>
  <c r="N408" i="1"/>
  <c r="H408" i="1"/>
  <c r="I408" i="1"/>
  <c r="K408" i="1"/>
  <c r="O375" i="1"/>
  <c r="N375" i="1"/>
  <c r="H372" i="1"/>
  <c r="H348" i="1"/>
  <c r="G372" i="1"/>
  <c r="H345" i="1"/>
  <c r="G318" i="1"/>
  <c r="G312" i="1"/>
  <c r="N291" i="1"/>
  <c r="K291" i="1"/>
  <c r="K273" i="1"/>
  <c r="E273" i="1"/>
  <c r="N273" i="1"/>
  <c r="E239" i="1"/>
  <c r="F239" i="1"/>
  <c r="G239" i="1"/>
  <c r="G241" i="1"/>
  <c r="H239" i="1"/>
  <c r="I239" i="1"/>
  <c r="J239" i="1"/>
  <c r="K239" i="1"/>
  <c r="L239" i="1"/>
  <c r="L241" i="1"/>
  <c r="M239" i="1"/>
  <c r="N239" i="1"/>
  <c r="O239" i="1"/>
  <c r="P239" i="1"/>
  <c r="F240" i="1"/>
  <c r="G240" i="1"/>
  <c r="H240" i="1"/>
  <c r="I240" i="1"/>
  <c r="J240" i="1"/>
  <c r="K240" i="1"/>
  <c r="K241" i="1"/>
  <c r="L240" i="1"/>
  <c r="N240" i="1"/>
  <c r="O240" i="1"/>
  <c r="P240" i="1"/>
  <c r="D239" i="1"/>
  <c r="P271" i="1"/>
  <c r="O271" i="1"/>
  <c r="N271" i="1"/>
  <c r="M271" i="1"/>
  <c r="L271" i="1"/>
  <c r="K271" i="1"/>
  <c r="J271" i="1"/>
  <c r="I271" i="1"/>
  <c r="H271" i="1"/>
  <c r="G271" i="1"/>
  <c r="M270" i="1"/>
  <c r="F270" i="1"/>
  <c r="E270" i="1"/>
  <c r="D270" i="1"/>
  <c r="M269" i="1"/>
  <c r="F269" i="1"/>
  <c r="F271" i="1"/>
  <c r="E269" i="1"/>
  <c r="D269" i="1"/>
  <c r="H264" i="1"/>
  <c r="H261" i="1"/>
  <c r="H258" i="1"/>
  <c r="I258" i="1"/>
  <c r="K258" i="1"/>
  <c r="N243" i="1"/>
  <c r="M243" i="1"/>
  <c r="K237" i="1"/>
  <c r="H222" i="1"/>
  <c r="H195" i="1"/>
  <c r="G222" i="1"/>
  <c r="G198" i="1"/>
  <c r="H165" i="1"/>
  <c r="J165" i="1"/>
  <c r="J166" i="1"/>
  <c r="N153" i="1"/>
  <c r="N147" i="1"/>
  <c r="H120" i="1"/>
  <c r="G120" i="1"/>
  <c r="N84" i="1"/>
  <c r="K57" i="1"/>
  <c r="K51" i="1"/>
  <c r="K54" i="1"/>
  <c r="K45" i="1"/>
  <c r="H45" i="1"/>
  <c r="G45" i="1"/>
  <c r="H36" i="1"/>
  <c r="J406" i="3"/>
  <c r="F15" i="7"/>
  <c r="F18" i="7"/>
  <c r="F14" i="7"/>
  <c r="G18" i="7"/>
  <c r="G14" i="7"/>
  <c r="E19" i="7"/>
  <c r="E15" i="7"/>
  <c r="F19" i="7"/>
  <c r="G19" i="7"/>
  <c r="G15" i="7"/>
  <c r="G20" i="7"/>
  <c r="E22" i="7"/>
  <c r="E18" i="7"/>
  <c r="E23" i="7"/>
  <c r="E24" i="7"/>
  <c r="F24" i="7"/>
  <c r="G24" i="7"/>
  <c r="G27" i="7"/>
  <c r="F30" i="7"/>
  <c r="G30" i="7"/>
  <c r="G26" i="7"/>
  <c r="F31" i="7"/>
  <c r="F27" i="7"/>
  <c r="G31" i="7"/>
  <c r="G32" i="7"/>
  <c r="E34" i="7"/>
  <c r="E35" i="7"/>
  <c r="E31" i="7"/>
  <c r="E27" i="7"/>
  <c r="F36" i="7"/>
  <c r="G36" i="7"/>
  <c r="G38" i="7"/>
  <c r="F42" i="7"/>
  <c r="F38" i="7"/>
  <c r="G42" i="7"/>
  <c r="G44" i="7"/>
  <c r="F43" i="7"/>
  <c r="F39" i="7"/>
  <c r="G43" i="7"/>
  <c r="G39" i="7"/>
  <c r="E46" i="7"/>
  <c r="E42" i="7"/>
  <c r="E47" i="7"/>
  <c r="E43" i="7"/>
  <c r="E39" i="7"/>
  <c r="F48" i="7"/>
  <c r="G48" i="7"/>
  <c r="F51" i="7"/>
  <c r="F54" i="7"/>
  <c r="F50" i="7"/>
  <c r="F52" i="7"/>
  <c r="G54" i="7"/>
  <c r="G50" i="7"/>
  <c r="F55" i="7"/>
  <c r="G55" i="7"/>
  <c r="G51" i="7"/>
  <c r="F56" i="7"/>
  <c r="E58" i="7"/>
  <c r="E54" i="7"/>
  <c r="E59" i="7"/>
  <c r="E55" i="7"/>
  <c r="E51" i="7"/>
  <c r="F60" i="7"/>
  <c r="G60" i="7"/>
  <c r="J163" i="3"/>
  <c r="J165" i="3"/>
  <c r="K163" i="3"/>
  <c r="K165" i="3"/>
  <c r="J164" i="3"/>
  <c r="K164" i="3"/>
  <c r="G164" i="3"/>
  <c r="G163" i="3"/>
  <c r="K177" i="3"/>
  <c r="J177" i="3"/>
  <c r="G177" i="3"/>
  <c r="I176" i="3"/>
  <c r="I177" i="3"/>
  <c r="I175" i="3"/>
  <c r="K192" i="3"/>
  <c r="J192" i="3"/>
  <c r="G192" i="3"/>
  <c r="I191" i="3"/>
  <c r="I190" i="3"/>
  <c r="G17" i="1"/>
  <c r="H17" i="1"/>
  <c r="I17" i="1"/>
  <c r="I19" i="1"/>
  <c r="J17" i="1"/>
  <c r="J19" i="1"/>
  <c r="K17" i="1"/>
  <c r="L17" i="1"/>
  <c r="N17" i="1"/>
  <c r="O17" i="1"/>
  <c r="P17" i="1"/>
  <c r="P19" i="1"/>
  <c r="G18" i="1"/>
  <c r="H18" i="1"/>
  <c r="H19" i="1"/>
  <c r="I18" i="1"/>
  <c r="J18" i="1"/>
  <c r="K18" i="1"/>
  <c r="L18" i="1"/>
  <c r="N18" i="1"/>
  <c r="O18" i="1"/>
  <c r="P18" i="1"/>
  <c r="K19" i="1"/>
  <c r="O19" i="1"/>
  <c r="F20" i="1"/>
  <c r="M20" i="1"/>
  <c r="F21" i="1"/>
  <c r="E21" i="1"/>
  <c r="D21" i="1"/>
  <c r="M21" i="1"/>
  <c r="G22" i="1"/>
  <c r="H22" i="1"/>
  <c r="I22" i="1"/>
  <c r="J22" i="1"/>
  <c r="K22" i="1"/>
  <c r="L22" i="1"/>
  <c r="N22" i="1"/>
  <c r="O22" i="1"/>
  <c r="P22" i="1"/>
  <c r="F23" i="1"/>
  <c r="F25" i="1"/>
  <c r="M23" i="1"/>
  <c r="F24" i="1"/>
  <c r="E24" i="1"/>
  <c r="D24" i="1"/>
  <c r="M24" i="1"/>
  <c r="M25" i="1"/>
  <c r="G25" i="1"/>
  <c r="H25" i="1"/>
  <c r="I25" i="1"/>
  <c r="J25" i="1"/>
  <c r="K25" i="1"/>
  <c r="L25" i="1"/>
  <c r="N25" i="1"/>
  <c r="O25" i="1"/>
  <c r="P25" i="1"/>
  <c r="F26" i="1"/>
  <c r="F17" i="1"/>
  <c r="E26" i="1"/>
  <c r="D26" i="1"/>
  <c r="M26" i="1"/>
  <c r="F27" i="1"/>
  <c r="M27" i="1"/>
  <c r="M18" i="1"/>
  <c r="G28" i="1"/>
  <c r="H28" i="1"/>
  <c r="I28" i="1"/>
  <c r="J28" i="1"/>
  <c r="K28" i="1"/>
  <c r="L28" i="1"/>
  <c r="N28" i="1"/>
  <c r="O28" i="1"/>
  <c r="P28" i="1"/>
  <c r="F29" i="1"/>
  <c r="F31" i="1"/>
  <c r="M29" i="1"/>
  <c r="M17" i="1"/>
  <c r="F30" i="1"/>
  <c r="E30" i="1"/>
  <c r="M30" i="1"/>
  <c r="G31" i="1"/>
  <c r="H31" i="1"/>
  <c r="I31" i="1"/>
  <c r="J31" i="1"/>
  <c r="K31" i="1"/>
  <c r="L31" i="1"/>
  <c r="M31" i="1"/>
  <c r="N31" i="1"/>
  <c r="O31" i="1"/>
  <c r="P31" i="1"/>
  <c r="F32" i="1"/>
  <c r="E32" i="1"/>
  <c r="M32" i="1"/>
  <c r="F33" i="1"/>
  <c r="E33" i="1"/>
  <c r="M33" i="1"/>
  <c r="M34" i="1"/>
  <c r="G34" i="1"/>
  <c r="H34" i="1"/>
  <c r="I34" i="1"/>
  <c r="J34" i="1"/>
  <c r="K34" i="1"/>
  <c r="L34" i="1"/>
  <c r="N34" i="1"/>
  <c r="O34" i="1"/>
  <c r="P34" i="1"/>
  <c r="E35" i="1"/>
  <c r="F35" i="1"/>
  <c r="M35" i="1"/>
  <c r="F36" i="1"/>
  <c r="F37" i="1"/>
  <c r="M36" i="1"/>
  <c r="M37" i="1"/>
  <c r="G37" i="1"/>
  <c r="H37" i="1"/>
  <c r="I37" i="1"/>
  <c r="J37" i="1"/>
  <c r="K37" i="1"/>
  <c r="L37" i="1"/>
  <c r="N37" i="1"/>
  <c r="O37" i="1"/>
  <c r="P37" i="1"/>
  <c r="G38" i="1"/>
  <c r="H38" i="1"/>
  <c r="H40" i="1"/>
  <c r="I38" i="1"/>
  <c r="J38" i="1"/>
  <c r="K38" i="1"/>
  <c r="L38" i="1"/>
  <c r="N38" i="1"/>
  <c r="O38" i="1"/>
  <c r="P38" i="1"/>
  <c r="P40" i="1"/>
  <c r="G39" i="1"/>
  <c r="H39" i="1"/>
  <c r="I39" i="1"/>
  <c r="J39" i="1"/>
  <c r="J40" i="1"/>
  <c r="K39" i="1"/>
  <c r="L39" i="1"/>
  <c r="N39" i="1"/>
  <c r="O39" i="1"/>
  <c r="P39" i="1"/>
  <c r="K40" i="1"/>
  <c r="O40" i="1"/>
  <c r="E41" i="1"/>
  <c r="E43" i="1"/>
  <c r="F41" i="1"/>
  <c r="F38" i="1"/>
  <c r="M41" i="1"/>
  <c r="M38" i="1"/>
  <c r="E42" i="1"/>
  <c r="D42" i="1"/>
  <c r="F42" i="1"/>
  <c r="M42" i="1"/>
  <c r="F43" i="1"/>
  <c r="G43" i="1"/>
  <c r="H43" i="1"/>
  <c r="I43" i="1"/>
  <c r="J43" i="1"/>
  <c r="K43" i="1"/>
  <c r="L43" i="1"/>
  <c r="M43" i="1"/>
  <c r="N43" i="1"/>
  <c r="O43" i="1"/>
  <c r="P43" i="1"/>
  <c r="E44" i="1"/>
  <c r="D44" i="1"/>
  <c r="F44" i="1"/>
  <c r="M44" i="1"/>
  <c r="F45" i="1"/>
  <c r="F39" i="1"/>
  <c r="M45" i="1"/>
  <c r="G46" i="1"/>
  <c r="H46" i="1"/>
  <c r="I46" i="1"/>
  <c r="J46" i="1"/>
  <c r="K46" i="1"/>
  <c r="L46" i="1"/>
  <c r="M46" i="1"/>
  <c r="N46" i="1"/>
  <c r="O46" i="1"/>
  <c r="P46" i="1"/>
  <c r="F47" i="1"/>
  <c r="E47" i="1"/>
  <c r="M47" i="1"/>
  <c r="M49" i="1"/>
  <c r="F48" i="1"/>
  <c r="E48" i="1"/>
  <c r="D48" i="1"/>
  <c r="M48" i="1"/>
  <c r="M39" i="1"/>
  <c r="F49" i="1"/>
  <c r="G49" i="1"/>
  <c r="H49" i="1"/>
  <c r="I49" i="1"/>
  <c r="J49" i="1"/>
  <c r="K49" i="1"/>
  <c r="L49" i="1"/>
  <c r="N49" i="1"/>
  <c r="O49" i="1"/>
  <c r="P49" i="1"/>
  <c r="G50" i="1"/>
  <c r="G52" i="1"/>
  <c r="H50" i="1"/>
  <c r="H52" i="1"/>
  <c r="I50" i="1"/>
  <c r="J50" i="1"/>
  <c r="K50" i="1"/>
  <c r="L50" i="1"/>
  <c r="L52" i="1"/>
  <c r="N50" i="1"/>
  <c r="O50" i="1"/>
  <c r="O52" i="1"/>
  <c r="P50" i="1"/>
  <c r="P52" i="1"/>
  <c r="G51" i="1"/>
  <c r="H51" i="1"/>
  <c r="I51" i="1"/>
  <c r="I52" i="1"/>
  <c r="J51" i="1"/>
  <c r="L51" i="1"/>
  <c r="N51" i="1"/>
  <c r="N52" i="1"/>
  <c r="O51" i="1"/>
  <c r="P51" i="1"/>
  <c r="J52" i="1"/>
  <c r="E53" i="1"/>
  <c r="D53" i="1"/>
  <c r="F53" i="1"/>
  <c r="M53" i="1"/>
  <c r="E54" i="1"/>
  <c r="F54" i="1"/>
  <c r="M54" i="1"/>
  <c r="M55" i="1"/>
  <c r="E55" i="1"/>
  <c r="F55" i="1"/>
  <c r="G55" i="1"/>
  <c r="H55" i="1"/>
  <c r="I55" i="1"/>
  <c r="J55" i="1"/>
  <c r="K55" i="1"/>
  <c r="L55" i="1"/>
  <c r="N55" i="1"/>
  <c r="O55" i="1"/>
  <c r="P55" i="1"/>
  <c r="F56" i="1"/>
  <c r="M56" i="1"/>
  <c r="F57" i="1"/>
  <c r="M57" i="1"/>
  <c r="G58" i="1"/>
  <c r="H58" i="1"/>
  <c r="I58" i="1"/>
  <c r="J58" i="1"/>
  <c r="L58" i="1"/>
  <c r="N58" i="1"/>
  <c r="O58" i="1"/>
  <c r="P58" i="1"/>
  <c r="F59" i="1"/>
  <c r="F50" i="1"/>
  <c r="F52" i="1"/>
  <c r="M59" i="1"/>
  <c r="M61" i="1"/>
  <c r="F60" i="1"/>
  <c r="E60" i="1"/>
  <c r="M60" i="1"/>
  <c r="D60" i="1"/>
  <c r="G61" i="1"/>
  <c r="H61" i="1"/>
  <c r="I61" i="1"/>
  <c r="J61" i="1"/>
  <c r="K61" i="1"/>
  <c r="L61" i="1"/>
  <c r="N61" i="1"/>
  <c r="O61" i="1"/>
  <c r="P61" i="1"/>
  <c r="E62" i="1"/>
  <c r="F62" i="1"/>
  <c r="G62" i="1"/>
  <c r="H62" i="1"/>
  <c r="I62" i="1"/>
  <c r="J62" i="1"/>
  <c r="J64" i="1"/>
  <c r="K62" i="1"/>
  <c r="L62" i="1"/>
  <c r="M62" i="1"/>
  <c r="N62" i="1"/>
  <c r="N64" i="1"/>
  <c r="O62" i="1"/>
  <c r="P62" i="1"/>
  <c r="G63" i="1"/>
  <c r="H63" i="1"/>
  <c r="H64" i="1"/>
  <c r="I63" i="1"/>
  <c r="J63" i="1"/>
  <c r="K63" i="1"/>
  <c r="L63" i="1"/>
  <c r="M63" i="1"/>
  <c r="N63" i="1"/>
  <c r="O63" i="1"/>
  <c r="P63" i="1"/>
  <c r="G64" i="1"/>
  <c r="K64" i="1"/>
  <c r="L64" i="1"/>
  <c r="O64" i="1"/>
  <c r="P64" i="1"/>
  <c r="E65" i="1"/>
  <c r="F65" i="1"/>
  <c r="M65" i="1"/>
  <c r="E66" i="1"/>
  <c r="E63" i="1"/>
  <c r="E64" i="1"/>
  <c r="D66" i="1"/>
  <c r="D63" i="1"/>
  <c r="D64" i="1"/>
  <c r="F66" i="1"/>
  <c r="F67" i="1"/>
  <c r="F63" i="1"/>
  <c r="F64" i="1"/>
  <c r="M66" i="1"/>
  <c r="G67" i="1"/>
  <c r="H67" i="1"/>
  <c r="I67" i="1"/>
  <c r="J67" i="1"/>
  <c r="K67" i="1"/>
  <c r="L67" i="1"/>
  <c r="M67" i="1"/>
  <c r="N67" i="1"/>
  <c r="O67" i="1"/>
  <c r="P67" i="1"/>
  <c r="G68" i="1"/>
  <c r="H68" i="1"/>
  <c r="I68" i="1"/>
  <c r="J68" i="1"/>
  <c r="K68" i="1"/>
  <c r="L68" i="1"/>
  <c r="L70" i="1"/>
  <c r="N68" i="1"/>
  <c r="O68" i="1"/>
  <c r="P68" i="1"/>
  <c r="P70" i="1"/>
  <c r="G69" i="1"/>
  <c r="H69" i="1"/>
  <c r="I69" i="1"/>
  <c r="J69" i="1"/>
  <c r="J70" i="1"/>
  <c r="K69" i="1"/>
  <c r="L69" i="1"/>
  <c r="N69" i="1"/>
  <c r="O69" i="1"/>
  <c r="O70" i="1"/>
  <c r="P69" i="1"/>
  <c r="K70" i="1"/>
  <c r="F71" i="1"/>
  <c r="F73" i="1"/>
  <c r="M71" i="1"/>
  <c r="M73" i="1"/>
  <c r="F72" i="1"/>
  <c r="E72" i="1"/>
  <c r="M72" i="1"/>
  <c r="G73" i="1"/>
  <c r="H73" i="1"/>
  <c r="I73" i="1"/>
  <c r="J73" i="1"/>
  <c r="K73" i="1"/>
  <c r="L73" i="1"/>
  <c r="N73" i="1"/>
  <c r="O73" i="1"/>
  <c r="P73" i="1"/>
  <c r="F74" i="1"/>
  <c r="E74" i="1"/>
  <c r="M74" i="1"/>
  <c r="F75" i="1"/>
  <c r="E75" i="1"/>
  <c r="D75" i="1"/>
  <c r="M75" i="1"/>
  <c r="G76" i="1"/>
  <c r="H76" i="1"/>
  <c r="I76" i="1"/>
  <c r="J76" i="1"/>
  <c r="K76" i="1"/>
  <c r="L76" i="1"/>
  <c r="M76" i="1"/>
  <c r="N76" i="1"/>
  <c r="O76" i="1"/>
  <c r="P76" i="1"/>
  <c r="F77" i="1"/>
  <c r="E77" i="1"/>
  <c r="M77" i="1"/>
  <c r="F78" i="1"/>
  <c r="E78" i="1"/>
  <c r="D78" i="1"/>
  <c r="M78" i="1"/>
  <c r="G79" i="1"/>
  <c r="H79" i="1"/>
  <c r="I79" i="1"/>
  <c r="J79" i="1"/>
  <c r="K79" i="1"/>
  <c r="L79" i="1"/>
  <c r="N79" i="1"/>
  <c r="O79" i="1"/>
  <c r="P79" i="1"/>
  <c r="F80" i="1"/>
  <c r="M80" i="1"/>
  <c r="F81" i="1"/>
  <c r="F82" i="1"/>
  <c r="E81" i="1"/>
  <c r="D81" i="1"/>
  <c r="D82" i="1"/>
  <c r="M81" i="1"/>
  <c r="G82" i="1"/>
  <c r="H82" i="1"/>
  <c r="I82" i="1"/>
  <c r="J82" i="1"/>
  <c r="K82" i="1"/>
  <c r="L82" i="1"/>
  <c r="N82" i="1"/>
  <c r="O82" i="1"/>
  <c r="P82" i="1"/>
  <c r="E83" i="1"/>
  <c r="F83" i="1"/>
  <c r="M83" i="1"/>
  <c r="F84" i="1"/>
  <c r="E84" i="1"/>
  <c r="M84" i="1"/>
  <c r="M85" i="1"/>
  <c r="F85" i="1"/>
  <c r="G85" i="1"/>
  <c r="H85" i="1"/>
  <c r="I85" i="1"/>
  <c r="J85" i="1"/>
  <c r="K85" i="1"/>
  <c r="L85" i="1"/>
  <c r="N85" i="1"/>
  <c r="O85" i="1"/>
  <c r="P85" i="1"/>
  <c r="F86" i="1"/>
  <c r="M86" i="1"/>
  <c r="M88" i="1"/>
  <c r="F87" i="1"/>
  <c r="E87" i="1"/>
  <c r="M87" i="1"/>
  <c r="G88" i="1"/>
  <c r="H88" i="1"/>
  <c r="I88" i="1"/>
  <c r="J88" i="1"/>
  <c r="K88" i="1"/>
  <c r="L88" i="1"/>
  <c r="N88" i="1"/>
  <c r="O88" i="1"/>
  <c r="P88" i="1"/>
  <c r="F89" i="1"/>
  <c r="F68" i="1"/>
  <c r="M89" i="1"/>
  <c r="F90" i="1"/>
  <c r="E90" i="1"/>
  <c r="D90" i="1"/>
  <c r="M90" i="1"/>
  <c r="F91" i="1"/>
  <c r="G91" i="1"/>
  <c r="H91" i="1"/>
  <c r="I91" i="1"/>
  <c r="J91" i="1"/>
  <c r="K91" i="1"/>
  <c r="L91" i="1"/>
  <c r="M91" i="1"/>
  <c r="N91" i="1"/>
  <c r="O91" i="1"/>
  <c r="P91" i="1"/>
  <c r="F92" i="1"/>
  <c r="E92" i="1"/>
  <c r="M92" i="1"/>
  <c r="F93" i="1"/>
  <c r="E93" i="1"/>
  <c r="D93" i="1"/>
  <c r="M93" i="1"/>
  <c r="M94" i="1"/>
  <c r="G94" i="1"/>
  <c r="H94" i="1"/>
  <c r="I94" i="1"/>
  <c r="J94" i="1"/>
  <c r="K94" i="1"/>
  <c r="L94" i="1"/>
  <c r="N94" i="1"/>
  <c r="O94" i="1"/>
  <c r="P94" i="1"/>
  <c r="F95" i="1"/>
  <c r="E95" i="1"/>
  <c r="M95" i="1"/>
  <c r="F96" i="1"/>
  <c r="E96" i="1"/>
  <c r="M96" i="1"/>
  <c r="G97" i="1"/>
  <c r="H97" i="1"/>
  <c r="I97" i="1"/>
  <c r="J97" i="1"/>
  <c r="K97" i="1"/>
  <c r="L97" i="1"/>
  <c r="N97" i="1"/>
  <c r="O97" i="1"/>
  <c r="P97" i="1"/>
  <c r="G98" i="1"/>
  <c r="G100" i="1"/>
  <c r="H98" i="1"/>
  <c r="I98" i="1"/>
  <c r="I100" i="1"/>
  <c r="J98" i="1"/>
  <c r="J100" i="1"/>
  <c r="K98" i="1"/>
  <c r="K100" i="1"/>
  <c r="L98" i="1"/>
  <c r="L100" i="1"/>
  <c r="N98" i="1"/>
  <c r="N100" i="1"/>
  <c r="O98" i="1"/>
  <c r="P98" i="1"/>
  <c r="G99" i="1"/>
  <c r="H99" i="1"/>
  <c r="H100" i="1"/>
  <c r="I99" i="1"/>
  <c r="J99" i="1"/>
  <c r="K99" i="1"/>
  <c r="L99" i="1"/>
  <c r="M99" i="1"/>
  <c r="N99" i="1"/>
  <c r="O99" i="1"/>
  <c r="P99" i="1"/>
  <c r="P100" i="1"/>
  <c r="O100" i="1"/>
  <c r="F101" i="1"/>
  <c r="F98" i="1"/>
  <c r="E101" i="1"/>
  <c r="M101" i="1"/>
  <c r="M103" i="1"/>
  <c r="F102" i="1"/>
  <c r="E102" i="1"/>
  <c r="M102" i="1"/>
  <c r="G103" i="1"/>
  <c r="H103" i="1"/>
  <c r="I103" i="1"/>
  <c r="J103" i="1"/>
  <c r="K103" i="1"/>
  <c r="L103" i="1"/>
  <c r="N103" i="1"/>
  <c r="O103" i="1"/>
  <c r="P103" i="1"/>
  <c r="F104" i="1"/>
  <c r="E104" i="1"/>
  <c r="M104" i="1"/>
  <c r="F105" i="1"/>
  <c r="M105" i="1"/>
  <c r="M106" i="1"/>
  <c r="G106" i="1"/>
  <c r="H106" i="1"/>
  <c r="I106" i="1"/>
  <c r="J106" i="1"/>
  <c r="K106" i="1"/>
  <c r="L106" i="1"/>
  <c r="N106" i="1"/>
  <c r="O106" i="1"/>
  <c r="P106" i="1"/>
  <c r="G107" i="1"/>
  <c r="H107" i="1"/>
  <c r="I107" i="1"/>
  <c r="I109" i="1"/>
  <c r="J107" i="1"/>
  <c r="K107" i="1"/>
  <c r="L107" i="1"/>
  <c r="M107" i="1"/>
  <c r="N107" i="1"/>
  <c r="O107" i="1"/>
  <c r="P107" i="1"/>
  <c r="G108" i="1"/>
  <c r="G109" i="1"/>
  <c r="H108" i="1"/>
  <c r="I108" i="1"/>
  <c r="J108" i="1"/>
  <c r="K108" i="1"/>
  <c r="L108" i="1"/>
  <c r="N108" i="1"/>
  <c r="O108" i="1"/>
  <c r="P108" i="1"/>
  <c r="J109" i="1"/>
  <c r="N109" i="1"/>
  <c r="F110" i="1"/>
  <c r="M110" i="1"/>
  <c r="F111" i="1"/>
  <c r="F108" i="1"/>
  <c r="F109" i="1"/>
  <c r="M111" i="1"/>
  <c r="M108" i="1"/>
  <c r="G112" i="1"/>
  <c r="H112" i="1"/>
  <c r="I112" i="1"/>
  <c r="J112" i="1"/>
  <c r="K112" i="1"/>
  <c r="L112" i="1"/>
  <c r="M112" i="1"/>
  <c r="N112" i="1"/>
  <c r="O112" i="1"/>
  <c r="P112" i="1"/>
  <c r="G113" i="1"/>
  <c r="H113" i="1"/>
  <c r="I113" i="1"/>
  <c r="J113" i="1"/>
  <c r="J115" i="1"/>
  <c r="K113" i="1"/>
  <c r="L113" i="1"/>
  <c r="L115" i="1"/>
  <c r="N113" i="1"/>
  <c r="O113" i="1"/>
  <c r="O115" i="1"/>
  <c r="P113" i="1"/>
  <c r="G114" i="1"/>
  <c r="H114" i="1"/>
  <c r="H115" i="1"/>
  <c r="I114" i="1"/>
  <c r="I115" i="1"/>
  <c r="J114" i="1"/>
  <c r="K114" i="1"/>
  <c r="L114" i="1"/>
  <c r="N114" i="1"/>
  <c r="O114" i="1"/>
  <c r="P114" i="1"/>
  <c r="P115" i="1"/>
  <c r="K115" i="1"/>
  <c r="N115" i="1"/>
  <c r="E116" i="1"/>
  <c r="F116" i="1"/>
  <c r="M116" i="1"/>
  <c r="F117" i="1"/>
  <c r="E117" i="1"/>
  <c r="M117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D119" i="1"/>
  <c r="F119" i="1"/>
  <c r="M119" i="1"/>
  <c r="E120" i="1"/>
  <c r="E121" i="1"/>
  <c r="D120" i="1"/>
  <c r="D121" i="1"/>
  <c r="F120" i="1"/>
  <c r="M120" i="1"/>
  <c r="F121" i="1"/>
  <c r="G121" i="1"/>
  <c r="H121" i="1"/>
  <c r="I121" i="1"/>
  <c r="J121" i="1"/>
  <c r="K121" i="1"/>
  <c r="L121" i="1"/>
  <c r="M121" i="1"/>
  <c r="N121" i="1"/>
  <c r="O121" i="1"/>
  <c r="P121" i="1"/>
  <c r="F122" i="1"/>
  <c r="E122" i="1"/>
  <c r="M122" i="1"/>
  <c r="M124" i="1"/>
  <c r="F123" i="1"/>
  <c r="F114" i="1"/>
  <c r="M123" i="1"/>
  <c r="F124" i="1"/>
  <c r="G124" i="1"/>
  <c r="H124" i="1"/>
  <c r="I124" i="1"/>
  <c r="J124" i="1"/>
  <c r="K124" i="1"/>
  <c r="L124" i="1"/>
  <c r="N124" i="1"/>
  <c r="O124" i="1"/>
  <c r="P124" i="1"/>
  <c r="F125" i="1"/>
  <c r="M125" i="1"/>
  <c r="F126" i="1"/>
  <c r="E126" i="1"/>
  <c r="D126" i="1"/>
  <c r="M126" i="1"/>
  <c r="M127" i="1"/>
  <c r="G127" i="1"/>
  <c r="I127" i="1"/>
  <c r="J127" i="1"/>
  <c r="K127" i="1"/>
  <c r="L127" i="1"/>
  <c r="O127" i="1"/>
  <c r="P127" i="1"/>
  <c r="E128" i="1"/>
  <c r="D128" i="1"/>
  <c r="F128" i="1"/>
  <c r="M128" i="1"/>
  <c r="E129" i="1"/>
  <c r="D129" i="1"/>
  <c r="D130" i="1"/>
  <c r="F129" i="1"/>
  <c r="M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G131" i="1"/>
  <c r="H131" i="1"/>
  <c r="I131" i="1"/>
  <c r="J131" i="1"/>
  <c r="K131" i="1"/>
  <c r="L131" i="1"/>
  <c r="L133" i="1"/>
  <c r="N131" i="1"/>
  <c r="O131" i="1"/>
  <c r="P131" i="1"/>
  <c r="G132" i="1"/>
  <c r="H132" i="1"/>
  <c r="H133" i="1"/>
  <c r="I132" i="1"/>
  <c r="I133" i="1"/>
  <c r="J132" i="1"/>
  <c r="J133" i="1"/>
  <c r="K132" i="1"/>
  <c r="L132" i="1"/>
  <c r="N132" i="1"/>
  <c r="O132" i="1"/>
  <c r="P132" i="1"/>
  <c r="G133" i="1"/>
  <c r="K133" i="1"/>
  <c r="O133" i="1"/>
  <c r="P133" i="1"/>
  <c r="F134" i="1"/>
  <c r="F131" i="1"/>
  <c r="M134" i="1"/>
  <c r="F135" i="1"/>
  <c r="E135" i="1"/>
  <c r="M135" i="1"/>
  <c r="M132" i="1"/>
  <c r="M133" i="1"/>
  <c r="G136" i="1"/>
  <c r="H136" i="1"/>
  <c r="I136" i="1"/>
  <c r="J136" i="1"/>
  <c r="K136" i="1"/>
  <c r="L136" i="1"/>
  <c r="N136" i="1"/>
  <c r="O136" i="1"/>
  <c r="P136" i="1"/>
  <c r="G137" i="1"/>
  <c r="H137" i="1"/>
  <c r="I137" i="1"/>
  <c r="J137" i="1"/>
  <c r="J139" i="1"/>
  <c r="K137" i="1"/>
  <c r="L137" i="1"/>
  <c r="N137" i="1"/>
  <c r="N139" i="1"/>
  <c r="O137" i="1"/>
  <c r="P137" i="1"/>
  <c r="G138" i="1"/>
  <c r="G139" i="1"/>
  <c r="H138" i="1"/>
  <c r="I138" i="1"/>
  <c r="J138" i="1"/>
  <c r="K138" i="1"/>
  <c r="K139" i="1"/>
  <c r="L138" i="1"/>
  <c r="N138" i="1"/>
  <c r="O138" i="1"/>
  <c r="O139" i="1"/>
  <c r="P138" i="1"/>
  <c r="H139" i="1"/>
  <c r="I139" i="1"/>
  <c r="L139" i="1"/>
  <c r="P139" i="1"/>
  <c r="F140" i="1"/>
  <c r="E140" i="1"/>
  <c r="D140" i="1"/>
  <c r="D142" i="1"/>
  <c r="M140" i="1"/>
  <c r="M142" i="1"/>
  <c r="F141" i="1"/>
  <c r="F142" i="1"/>
  <c r="E141" i="1"/>
  <c r="D141" i="1"/>
  <c r="M141" i="1"/>
  <c r="G142" i="1"/>
  <c r="H142" i="1"/>
  <c r="I142" i="1"/>
  <c r="J142" i="1"/>
  <c r="K142" i="1"/>
  <c r="L142" i="1"/>
  <c r="N142" i="1"/>
  <c r="O142" i="1"/>
  <c r="P142" i="1"/>
  <c r="F143" i="1"/>
  <c r="E143" i="1"/>
  <c r="M143" i="1"/>
  <c r="F144" i="1"/>
  <c r="E144" i="1"/>
  <c r="M144" i="1"/>
  <c r="M138" i="1"/>
  <c r="G145" i="1"/>
  <c r="H145" i="1"/>
  <c r="I145" i="1"/>
  <c r="J145" i="1"/>
  <c r="K145" i="1"/>
  <c r="L145" i="1"/>
  <c r="N145" i="1"/>
  <c r="O145" i="1"/>
  <c r="P145" i="1"/>
  <c r="G146" i="1"/>
  <c r="H146" i="1"/>
  <c r="I146" i="1"/>
  <c r="J146" i="1"/>
  <c r="K146" i="1"/>
  <c r="L146" i="1"/>
  <c r="N146" i="1"/>
  <c r="P146" i="1"/>
  <c r="G147" i="1"/>
  <c r="H147" i="1"/>
  <c r="I147" i="1"/>
  <c r="I148" i="1"/>
  <c r="L147" i="1"/>
  <c r="O147" i="1"/>
  <c r="P147" i="1"/>
  <c r="P148" i="1"/>
  <c r="G148" i="1"/>
  <c r="F149" i="1"/>
  <c r="E149" i="1"/>
  <c r="M149" i="1"/>
  <c r="M151" i="1"/>
  <c r="F150" i="1"/>
  <c r="M150" i="1"/>
  <c r="G151" i="1"/>
  <c r="H151" i="1"/>
  <c r="I151" i="1"/>
  <c r="J151" i="1"/>
  <c r="K151" i="1"/>
  <c r="L151" i="1"/>
  <c r="N151" i="1"/>
  <c r="O151" i="1"/>
  <c r="P151" i="1"/>
  <c r="F152" i="1"/>
  <c r="M152" i="1"/>
  <c r="O152" i="1"/>
  <c r="O146" i="1"/>
  <c r="O148" i="1"/>
  <c r="E153" i="1"/>
  <c r="H153" i="1"/>
  <c r="F153" i="1"/>
  <c r="G154" i="1"/>
  <c r="H154" i="1"/>
  <c r="I154" i="1"/>
  <c r="J154" i="1"/>
  <c r="K154" i="1"/>
  <c r="L154" i="1"/>
  <c r="O154" i="1"/>
  <c r="P154" i="1"/>
  <c r="F155" i="1"/>
  <c r="F157" i="1"/>
  <c r="E155" i="1"/>
  <c r="E157" i="1"/>
  <c r="M155" i="1"/>
  <c r="F156" i="1"/>
  <c r="M156" i="1"/>
  <c r="G157" i="1"/>
  <c r="H157" i="1"/>
  <c r="I157" i="1"/>
  <c r="J157" i="1"/>
  <c r="K157" i="1"/>
  <c r="L157" i="1"/>
  <c r="N157" i="1"/>
  <c r="O157" i="1"/>
  <c r="P157" i="1"/>
  <c r="F158" i="1"/>
  <c r="M158" i="1"/>
  <c r="M160" i="1"/>
  <c r="F159" i="1"/>
  <c r="E159" i="1"/>
  <c r="M159" i="1"/>
  <c r="G160" i="1"/>
  <c r="H160" i="1"/>
  <c r="I160" i="1"/>
  <c r="J160" i="1"/>
  <c r="K160" i="1"/>
  <c r="L160" i="1"/>
  <c r="N160" i="1"/>
  <c r="O160" i="1"/>
  <c r="P160" i="1"/>
  <c r="F161" i="1"/>
  <c r="E161" i="1"/>
  <c r="M161" i="1"/>
  <c r="F162" i="1"/>
  <c r="E162" i="1"/>
  <c r="D162" i="1"/>
  <c r="M162" i="1"/>
  <c r="G163" i="1"/>
  <c r="H163" i="1"/>
  <c r="I163" i="1"/>
  <c r="J163" i="1"/>
  <c r="K163" i="1"/>
  <c r="L163" i="1"/>
  <c r="M163" i="1"/>
  <c r="N163" i="1"/>
  <c r="O163" i="1"/>
  <c r="P163" i="1"/>
  <c r="F164" i="1"/>
  <c r="E164" i="1"/>
  <c r="M164" i="1"/>
  <c r="F165" i="1"/>
  <c r="M165" i="1"/>
  <c r="F166" i="1"/>
  <c r="G166" i="1"/>
  <c r="H166" i="1"/>
  <c r="I166" i="1"/>
  <c r="K166" i="1"/>
  <c r="L166" i="1"/>
  <c r="N166" i="1"/>
  <c r="O166" i="1"/>
  <c r="P166" i="1"/>
  <c r="G167" i="1"/>
  <c r="G169" i="1"/>
  <c r="H167" i="1"/>
  <c r="I167" i="1"/>
  <c r="J167" i="1"/>
  <c r="K167" i="1"/>
  <c r="K169" i="1"/>
  <c r="L167" i="1"/>
  <c r="N167" i="1"/>
  <c r="N169" i="1"/>
  <c r="O167" i="1"/>
  <c r="P167" i="1"/>
  <c r="P169" i="1"/>
  <c r="G168" i="1"/>
  <c r="H168" i="1"/>
  <c r="I168" i="1"/>
  <c r="J168" i="1"/>
  <c r="J169" i="1"/>
  <c r="K168" i="1"/>
  <c r="L168" i="1"/>
  <c r="N168" i="1"/>
  <c r="O168" i="1"/>
  <c r="O169" i="1"/>
  <c r="P168" i="1"/>
  <c r="H169" i="1"/>
  <c r="I169" i="1"/>
  <c r="L169" i="1"/>
  <c r="F170" i="1"/>
  <c r="F167" i="1"/>
  <c r="E170" i="1"/>
  <c r="E167" i="1"/>
  <c r="M170" i="1"/>
  <c r="F171" i="1"/>
  <c r="E171" i="1"/>
  <c r="M171" i="1"/>
  <c r="M172" i="1"/>
  <c r="M168" i="1"/>
  <c r="G172" i="1"/>
  <c r="H172" i="1"/>
  <c r="I172" i="1"/>
  <c r="J172" i="1"/>
  <c r="K172" i="1"/>
  <c r="L172" i="1"/>
  <c r="N172" i="1"/>
  <c r="O172" i="1"/>
  <c r="P172" i="1"/>
  <c r="F173" i="1"/>
  <c r="G173" i="1"/>
  <c r="G175" i="1"/>
  <c r="H173" i="1"/>
  <c r="I173" i="1"/>
  <c r="J173" i="1"/>
  <c r="K173" i="1"/>
  <c r="K175" i="1"/>
  <c r="L173" i="1"/>
  <c r="N173" i="1"/>
  <c r="O173" i="1"/>
  <c r="O175" i="1"/>
  <c r="P173" i="1"/>
  <c r="G174" i="1"/>
  <c r="H174" i="1"/>
  <c r="H175" i="1"/>
  <c r="I174" i="1"/>
  <c r="I175" i="1"/>
  <c r="J174" i="1"/>
  <c r="K174" i="1"/>
  <c r="L174" i="1"/>
  <c r="M174" i="1"/>
  <c r="N174" i="1"/>
  <c r="O174" i="1"/>
  <c r="P174" i="1"/>
  <c r="L175" i="1"/>
  <c r="P175" i="1"/>
  <c r="F176" i="1"/>
  <c r="E176" i="1"/>
  <c r="M176" i="1"/>
  <c r="F177" i="1"/>
  <c r="F174" i="1"/>
  <c r="F175" i="1"/>
  <c r="E177" i="1"/>
  <c r="D177" i="1"/>
  <c r="M177" i="1"/>
  <c r="F178" i="1"/>
  <c r="G178" i="1"/>
  <c r="H178" i="1"/>
  <c r="I178" i="1"/>
  <c r="J178" i="1"/>
  <c r="K178" i="1"/>
  <c r="L178" i="1"/>
  <c r="N178" i="1"/>
  <c r="O178" i="1"/>
  <c r="P178" i="1"/>
  <c r="F179" i="1"/>
  <c r="G179" i="1"/>
  <c r="G181" i="1"/>
  <c r="H179" i="1"/>
  <c r="I179" i="1"/>
  <c r="J179" i="1"/>
  <c r="J181" i="1"/>
  <c r="K179" i="1"/>
  <c r="K181" i="1"/>
  <c r="L179" i="1"/>
  <c r="N179" i="1"/>
  <c r="O179" i="1"/>
  <c r="O181" i="1"/>
  <c r="P179" i="1"/>
  <c r="G180" i="1"/>
  <c r="H180" i="1"/>
  <c r="I180" i="1"/>
  <c r="J180" i="1"/>
  <c r="K180" i="1"/>
  <c r="L180" i="1"/>
  <c r="L181" i="1"/>
  <c r="N180" i="1"/>
  <c r="O180" i="1"/>
  <c r="P180" i="1"/>
  <c r="H181" i="1"/>
  <c r="I181" i="1"/>
  <c r="P181" i="1"/>
  <c r="D182" i="1"/>
  <c r="F182" i="1"/>
  <c r="E182" i="1"/>
  <c r="M182" i="1"/>
  <c r="F183" i="1"/>
  <c r="E183" i="1"/>
  <c r="M183" i="1"/>
  <c r="F184" i="1"/>
  <c r="G184" i="1"/>
  <c r="H184" i="1"/>
  <c r="I184" i="1"/>
  <c r="J184" i="1"/>
  <c r="K184" i="1"/>
  <c r="L184" i="1"/>
  <c r="N184" i="1"/>
  <c r="O184" i="1"/>
  <c r="P184" i="1"/>
  <c r="F185" i="1"/>
  <c r="E185" i="1"/>
  <c r="M185" i="1"/>
  <c r="F186" i="1"/>
  <c r="M186" i="1"/>
  <c r="G187" i="1"/>
  <c r="H187" i="1"/>
  <c r="I187" i="1"/>
  <c r="J187" i="1"/>
  <c r="K187" i="1"/>
  <c r="L187" i="1"/>
  <c r="N187" i="1"/>
  <c r="O187" i="1"/>
  <c r="P187" i="1"/>
  <c r="G188" i="1"/>
  <c r="G190" i="1"/>
  <c r="H188" i="1"/>
  <c r="I188" i="1"/>
  <c r="J188" i="1"/>
  <c r="J190" i="1"/>
  <c r="K188" i="1"/>
  <c r="L188" i="1"/>
  <c r="L190" i="1"/>
  <c r="N188" i="1"/>
  <c r="N190" i="1"/>
  <c r="O188" i="1"/>
  <c r="P188" i="1"/>
  <c r="G189" i="1"/>
  <c r="H189" i="1"/>
  <c r="H190" i="1"/>
  <c r="I189" i="1"/>
  <c r="J189" i="1"/>
  <c r="K189" i="1"/>
  <c r="L189" i="1"/>
  <c r="N189" i="1"/>
  <c r="O189" i="1"/>
  <c r="O190" i="1"/>
  <c r="P189" i="1"/>
  <c r="P190" i="1"/>
  <c r="K190" i="1"/>
  <c r="F191" i="1"/>
  <c r="F188" i="1"/>
  <c r="F190" i="1"/>
  <c r="E191" i="1"/>
  <c r="E188" i="1"/>
  <c r="E190" i="1"/>
  <c r="M191" i="1"/>
  <c r="F192" i="1"/>
  <c r="F189" i="1"/>
  <c r="M192" i="1"/>
  <c r="M189" i="1"/>
  <c r="M190" i="1"/>
  <c r="G193" i="1"/>
  <c r="H193" i="1"/>
  <c r="I193" i="1"/>
  <c r="J193" i="1"/>
  <c r="K193" i="1"/>
  <c r="L193" i="1"/>
  <c r="N193" i="1"/>
  <c r="O193" i="1"/>
  <c r="P193" i="1"/>
  <c r="G194" i="1"/>
  <c r="H194" i="1"/>
  <c r="I194" i="1"/>
  <c r="J194" i="1"/>
  <c r="K194" i="1"/>
  <c r="L194" i="1"/>
  <c r="N194" i="1"/>
  <c r="O194" i="1"/>
  <c r="P194" i="1"/>
  <c r="G195" i="1"/>
  <c r="I195" i="1"/>
  <c r="J195" i="1"/>
  <c r="K195" i="1"/>
  <c r="L195" i="1"/>
  <c r="L196" i="1"/>
  <c r="N195" i="1"/>
  <c r="N196" i="1"/>
  <c r="O195" i="1"/>
  <c r="P195" i="1"/>
  <c r="P196" i="1"/>
  <c r="O196" i="1"/>
  <c r="F197" i="1"/>
  <c r="M197" i="1"/>
  <c r="M199" i="1"/>
  <c r="F198" i="1"/>
  <c r="M198" i="1"/>
  <c r="G199" i="1"/>
  <c r="H199" i="1"/>
  <c r="I199" i="1"/>
  <c r="J199" i="1"/>
  <c r="K199" i="1"/>
  <c r="L199" i="1"/>
  <c r="N199" i="1"/>
  <c r="O199" i="1"/>
  <c r="P199" i="1"/>
  <c r="F200" i="1"/>
  <c r="F202" i="1"/>
  <c r="E200" i="1"/>
  <c r="M200" i="1"/>
  <c r="F201" i="1"/>
  <c r="E201" i="1"/>
  <c r="M201" i="1"/>
  <c r="G202" i="1"/>
  <c r="H202" i="1"/>
  <c r="I202" i="1"/>
  <c r="J202" i="1"/>
  <c r="K202" i="1"/>
  <c r="L202" i="1"/>
  <c r="M202" i="1"/>
  <c r="N202" i="1"/>
  <c r="O202" i="1"/>
  <c r="P202" i="1"/>
  <c r="D203" i="1"/>
  <c r="E203" i="1"/>
  <c r="F203" i="1"/>
  <c r="M203" i="1"/>
  <c r="F204" i="1"/>
  <c r="E204" i="1"/>
  <c r="M204" i="1"/>
  <c r="F205" i="1"/>
  <c r="G205" i="1"/>
  <c r="H205" i="1"/>
  <c r="I205" i="1"/>
  <c r="J205" i="1"/>
  <c r="K205" i="1"/>
  <c r="L205" i="1"/>
  <c r="M205" i="1"/>
  <c r="N205" i="1"/>
  <c r="O205" i="1"/>
  <c r="P205" i="1"/>
  <c r="F206" i="1"/>
  <c r="M206" i="1"/>
  <c r="F207" i="1"/>
  <c r="E207" i="1"/>
  <c r="D207" i="1"/>
  <c r="M207" i="1"/>
  <c r="G208" i="1"/>
  <c r="H208" i="1"/>
  <c r="I208" i="1"/>
  <c r="J208" i="1"/>
  <c r="K208" i="1"/>
  <c r="L208" i="1"/>
  <c r="N208" i="1"/>
  <c r="O208" i="1"/>
  <c r="P208" i="1"/>
  <c r="F209" i="1"/>
  <c r="E209" i="1"/>
  <c r="M209" i="1"/>
  <c r="F210" i="1"/>
  <c r="F211" i="1"/>
  <c r="E210" i="1"/>
  <c r="E211" i="1"/>
  <c r="M210" i="1"/>
  <c r="G211" i="1"/>
  <c r="H211" i="1"/>
  <c r="I211" i="1"/>
  <c r="J211" i="1"/>
  <c r="K211" i="1"/>
  <c r="L211" i="1"/>
  <c r="N211" i="1"/>
  <c r="O211" i="1"/>
  <c r="P211" i="1"/>
  <c r="F212" i="1"/>
  <c r="M212" i="1"/>
  <c r="F213" i="1"/>
  <c r="E213" i="1"/>
  <c r="M213" i="1"/>
  <c r="G214" i="1"/>
  <c r="H214" i="1"/>
  <c r="I214" i="1"/>
  <c r="J214" i="1"/>
  <c r="K214" i="1"/>
  <c r="L214" i="1"/>
  <c r="M214" i="1"/>
  <c r="N214" i="1"/>
  <c r="O214" i="1"/>
  <c r="P214" i="1"/>
  <c r="D215" i="1"/>
  <c r="E215" i="1"/>
  <c r="F215" i="1"/>
  <c r="M215" i="1"/>
  <c r="E216" i="1"/>
  <c r="D216" i="1"/>
  <c r="D217" i="1"/>
  <c r="F216" i="1"/>
  <c r="M216" i="1"/>
  <c r="F217" i="1"/>
  <c r="G217" i="1"/>
  <c r="H217" i="1"/>
  <c r="I217" i="1"/>
  <c r="J217" i="1"/>
  <c r="K217" i="1"/>
  <c r="L217" i="1"/>
  <c r="M217" i="1"/>
  <c r="N217" i="1"/>
  <c r="O217" i="1"/>
  <c r="P217" i="1"/>
  <c r="E218" i="1"/>
  <c r="F218" i="1"/>
  <c r="M218" i="1"/>
  <c r="F219" i="1"/>
  <c r="E219" i="1"/>
  <c r="M219" i="1"/>
  <c r="G220" i="1"/>
  <c r="H220" i="1"/>
  <c r="I220" i="1"/>
  <c r="J220" i="1"/>
  <c r="K220" i="1"/>
  <c r="L220" i="1"/>
  <c r="N220" i="1"/>
  <c r="O220" i="1"/>
  <c r="P220" i="1"/>
  <c r="F221" i="1"/>
  <c r="E221" i="1"/>
  <c r="M221" i="1"/>
  <c r="F222" i="1"/>
  <c r="E222" i="1"/>
  <c r="M222" i="1"/>
  <c r="G223" i="1"/>
  <c r="I223" i="1"/>
  <c r="J223" i="1"/>
  <c r="K223" i="1"/>
  <c r="L223" i="1"/>
  <c r="N223" i="1"/>
  <c r="O223" i="1"/>
  <c r="P223" i="1"/>
  <c r="F224" i="1"/>
  <c r="M224" i="1"/>
  <c r="F225" i="1"/>
  <c r="E225" i="1"/>
  <c r="M225" i="1"/>
  <c r="G226" i="1"/>
  <c r="H226" i="1"/>
  <c r="I226" i="1"/>
  <c r="J226" i="1"/>
  <c r="K226" i="1"/>
  <c r="L226" i="1"/>
  <c r="M226" i="1"/>
  <c r="N226" i="1"/>
  <c r="O226" i="1"/>
  <c r="P226" i="1"/>
  <c r="D227" i="1"/>
  <c r="E227" i="1"/>
  <c r="F227" i="1"/>
  <c r="M227" i="1"/>
  <c r="E228" i="1"/>
  <c r="D228" i="1"/>
  <c r="D229" i="1"/>
  <c r="F228" i="1"/>
  <c r="M228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E230" i="1"/>
  <c r="F230" i="1"/>
  <c r="M230" i="1"/>
  <c r="E231" i="1"/>
  <c r="D231" i="1"/>
  <c r="D232" i="1"/>
  <c r="F231" i="1"/>
  <c r="M231" i="1"/>
  <c r="E232" i="1"/>
  <c r="F232" i="1"/>
  <c r="G232" i="1"/>
  <c r="H232" i="1"/>
  <c r="I232" i="1"/>
  <c r="J232" i="1"/>
  <c r="K232" i="1"/>
  <c r="L232" i="1"/>
  <c r="N232" i="1"/>
  <c r="O232" i="1"/>
  <c r="P232" i="1"/>
  <c r="F233" i="1"/>
  <c r="E233" i="1"/>
  <c r="D233" i="1"/>
  <c r="M233" i="1"/>
  <c r="F234" i="1"/>
  <c r="E234" i="1"/>
  <c r="D234" i="1"/>
  <c r="M234" i="1"/>
  <c r="M235" i="1"/>
  <c r="G235" i="1"/>
  <c r="H235" i="1"/>
  <c r="I235" i="1"/>
  <c r="J235" i="1"/>
  <c r="K235" i="1"/>
  <c r="L235" i="1"/>
  <c r="N235" i="1"/>
  <c r="O235" i="1"/>
  <c r="P235" i="1"/>
  <c r="E236" i="1"/>
  <c r="F236" i="1"/>
  <c r="M236" i="1"/>
  <c r="F237" i="1"/>
  <c r="M237" i="1"/>
  <c r="G238" i="1"/>
  <c r="H238" i="1"/>
  <c r="I238" i="1"/>
  <c r="J238" i="1"/>
  <c r="K238" i="1"/>
  <c r="L238" i="1"/>
  <c r="M238" i="1"/>
  <c r="N238" i="1"/>
  <c r="O238" i="1"/>
  <c r="P238" i="1"/>
  <c r="J241" i="1"/>
  <c r="I241" i="1"/>
  <c r="F242" i="1"/>
  <c r="M242" i="1"/>
  <c r="F243" i="1"/>
  <c r="E243" i="1"/>
  <c r="G244" i="1"/>
  <c r="H244" i="1"/>
  <c r="I244" i="1"/>
  <c r="J244" i="1"/>
  <c r="K244" i="1"/>
  <c r="L244" i="1"/>
  <c r="N244" i="1"/>
  <c r="O244" i="1"/>
  <c r="P244" i="1"/>
  <c r="D245" i="1"/>
  <c r="E245" i="1"/>
  <c r="F245" i="1"/>
  <c r="M245" i="1"/>
  <c r="D246" i="1"/>
  <c r="E246" i="1"/>
  <c r="F246" i="1"/>
  <c r="M246" i="1"/>
  <c r="M247" i="1"/>
  <c r="D247" i="1"/>
  <c r="E247" i="1"/>
  <c r="F247" i="1"/>
  <c r="G247" i="1"/>
  <c r="H247" i="1"/>
  <c r="I247" i="1"/>
  <c r="J247" i="1"/>
  <c r="K247" i="1"/>
  <c r="L247" i="1"/>
  <c r="N247" i="1"/>
  <c r="O247" i="1"/>
  <c r="P247" i="1"/>
  <c r="F248" i="1"/>
  <c r="E248" i="1"/>
  <c r="M248" i="1"/>
  <c r="F249" i="1"/>
  <c r="E249" i="1"/>
  <c r="D249" i="1"/>
  <c r="M249" i="1"/>
  <c r="G250" i="1"/>
  <c r="H250" i="1"/>
  <c r="I250" i="1"/>
  <c r="J250" i="1"/>
  <c r="K250" i="1"/>
  <c r="L250" i="1"/>
  <c r="N250" i="1"/>
  <c r="O250" i="1"/>
  <c r="P250" i="1"/>
  <c r="F251" i="1"/>
  <c r="E251" i="1"/>
  <c r="M251" i="1"/>
  <c r="M253" i="1"/>
  <c r="F252" i="1"/>
  <c r="F253" i="1"/>
  <c r="M252" i="1"/>
  <c r="G253" i="1"/>
  <c r="H253" i="1"/>
  <c r="I253" i="1"/>
  <c r="J253" i="1"/>
  <c r="K253" i="1"/>
  <c r="L253" i="1"/>
  <c r="N253" i="1"/>
  <c r="O253" i="1"/>
  <c r="P253" i="1"/>
  <c r="F254" i="1"/>
  <c r="F256" i="1"/>
  <c r="M254" i="1"/>
  <c r="F255" i="1"/>
  <c r="E255" i="1"/>
  <c r="D255" i="1"/>
  <c r="M255" i="1"/>
  <c r="G256" i="1"/>
  <c r="H256" i="1"/>
  <c r="I256" i="1"/>
  <c r="J256" i="1"/>
  <c r="K256" i="1"/>
  <c r="L256" i="1"/>
  <c r="M256" i="1"/>
  <c r="N256" i="1"/>
  <c r="O256" i="1"/>
  <c r="P256" i="1"/>
  <c r="H257" i="1"/>
  <c r="F257" i="1"/>
  <c r="M257" i="1"/>
  <c r="F258" i="1"/>
  <c r="E258" i="1"/>
  <c r="M258" i="1"/>
  <c r="G259" i="1"/>
  <c r="H259" i="1"/>
  <c r="I259" i="1"/>
  <c r="J259" i="1"/>
  <c r="K259" i="1"/>
  <c r="L259" i="1"/>
  <c r="N259" i="1"/>
  <c r="O259" i="1"/>
  <c r="P259" i="1"/>
  <c r="F260" i="1"/>
  <c r="H260" i="1"/>
  <c r="M260" i="1"/>
  <c r="F261" i="1"/>
  <c r="E261" i="1"/>
  <c r="E262" i="1"/>
  <c r="D261" i="1"/>
  <c r="M261" i="1"/>
  <c r="G262" i="1"/>
  <c r="I262" i="1"/>
  <c r="J262" i="1"/>
  <c r="K262" i="1"/>
  <c r="L262" i="1"/>
  <c r="M262" i="1"/>
  <c r="N262" i="1"/>
  <c r="O262" i="1"/>
  <c r="P262" i="1"/>
  <c r="D263" i="1"/>
  <c r="E263" i="1"/>
  <c r="F263" i="1"/>
  <c r="M263" i="1"/>
  <c r="F264" i="1"/>
  <c r="E264" i="1"/>
  <c r="M264" i="1"/>
  <c r="G265" i="1"/>
  <c r="H265" i="1"/>
  <c r="I265" i="1"/>
  <c r="J265" i="1"/>
  <c r="K265" i="1"/>
  <c r="L265" i="1"/>
  <c r="M265" i="1"/>
  <c r="N265" i="1"/>
  <c r="O265" i="1"/>
  <c r="P265" i="1"/>
  <c r="F266" i="1"/>
  <c r="F268" i="1"/>
  <c r="E266" i="1"/>
  <c r="D266" i="1"/>
  <c r="D268" i="1"/>
  <c r="M266" i="1"/>
  <c r="F267" i="1"/>
  <c r="E267" i="1"/>
  <c r="D267" i="1"/>
  <c r="M267" i="1"/>
  <c r="G268" i="1"/>
  <c r="H268" i="1"/>
  <c r="I268" i="1"/>
  <c r="J268" i="1"/>
  <c r="K268" i="1"/>
  <c r="L268" i="1"/>
  <c r="N268" i="1"/>
  <c r="O268" i="1"/>
  <c r="P268" i="1"/>
  <c r="F272" i="1"/>
  <c r="E272" i="1"/>
  <c r="M272" i="1"/>
  <c r="F273" i="1"/>
  <c r="M273" i="1"/>
  <c r="M240" i="1"/>
  <c r="G274" i="1"/>
  <c r="H274" i="1"/>
  <c r="I274" i="1"/>
  <c r="J274" i="1"/>
  <c r="L274" i="1"/>
  <c r="N274" i="1"/>
  <c r="O274" i="1"/>
  <c r="P274" i="1"/>
  <c r="G275" i="1"/>
  <c r="H275" i="1"/>
  <c r="I275" i="1"/>
  <c r="J275" i="1"/>
  <c r="J277" i="1"/>
  <c r="K275" i="1"/>
  <c r="L275" i="1"/>
  <c r="L277" i="1"/>
  <c r="N275" i="1"/>
  <c r="O275" i="1"/>
  <c r="O277" i="1"/>
  <c r="P275" i="1"/>
  <c r="P277" i="1"/>
  <c r="G276" i="1"/>
  <c r="H276" i="1"/>
  <c r="H277" i="1"/>
  <c r="I276" i="1"/>
  <c r="I277" i="1"/>
  <c r="J276" i="1"/>
  <c r="K276" i="1"/>
  <c r="L276" i="1"/>
  <c r="N276" i="1"/>
  <c r="N277" i="1"/>
  <c r="O276" i="1"/>
  <c r="P276" i="1"/>
  <c r="G277" i="1"/>
  <c r="F278" i="1"/>
  <c r="M278" i="1"/>
  <c r="F279" i="1"/>
  <c r="M279" i="1"/>
  <c r="F280" i="1"/>
  <c r="G280" i="1"/>
  <c r="H280" i="1"/>
  <c r="I280" i="1"/>
  <c r="J280" i="1"/>
  <c r="K280" i="1"/>
  <c r="L280" i="1"/>
  <c r="N280" i="1"/>
  <c r="O280" i="1"/>
  <c r="P280" i="1"/>
  <c r="E281" i="1"/>
  <c r="D281" i="1"/>
  <c r="F281" i="1"/>
  <c r="M281" i="1"/>
  <c r="F282" i="1"/>
  <c r="E282" i="1"/>
  <c r="M282" i="1"/>
  <c r="F283" i="1"/>
  <c r="G283" i="1"/>
  <c r="H283" i="1"/>
  <c r="I283" i="1"/>
  <c r="J283" i="1"/>
  <c r="K283" i="1"/>
  <c r="L283" i="1"/>
  <c r="M283" i="1"/>
  <c r="N283" i="1"/>
  <c r="O283" i="1"/>
  <c r="P283" i="1"/>
  <c r="F284" i="1"/>
  <c r="F286" i="1"/>
  <c r="M284" i="1"/>
  <c r="F285" i="1"/>
  <c r="E285" i="1"/>
  <c r="D285" i="1"/>
  <c r="M285" i="1"/>
  <c r="G286" i="1"/>
  <c r="H286" i="1"/>
  <c r="I286" i="1"/>
  <c r="J286" i="1"/>
  <c r="K286" i="1"/>
  <c r="L286" i="1"/>
  <c r="M286" i="1"/>
  <c r="N286" i="1"/>
  <c r="O286" i="1"/>
  <c r="P286" i="1"/>
  <c r="D287" i="1"/>
  <c r="F287" i="1"/>
  <c r="E287" i="1"/>
  <c r="M287" i="1"/>
  <c r="F288" i="1"/>
  <c r="E288" i="1"/>
  <c r="D288" i="1"/>
  <c r="D289" i="1"/>
  <c r="M288" i="1"/>
  <c r="F289" i="1"/>
  <c r="G289" i="1"/>
  <c r="H289" i="1"/>
  <c r="I289" i="1"/>
  <c r="J289" i="1"/>
  <c r="K289" i="1"/>
  <c r="L289" i="1"/>
  <c r="N289" i="1"/>
  <c r="O289" i="1"/>
  <c r="P289" i="1"/>
  <c r="F290" i="1"/>
  <c r="E290" i="1"/>
  <c r="M290" i="1"/>
  <c r="F291" i="1"/>
  <c r="E291" i="1"/>
  <c r="M291" i="1"/>
  <c r="D291" i="1"/>
  <c r="D292" i="1"/>
  <c r="F292" i="1"/>
  <c r="G292" i="1"/>
  <c r="H292" i="1"/>
  <c r="I292" i="1"/>
  <c r="J292" i="1"/>
  <c r="K292" i="1"/>
  <c r="L292" i="1"/>
  <c r="N292" i="1"/>
  <c r="O292" i="1"/>
  <c r="P292" i="1"/>
  <c r="G293" i="1"/>
  <c r="H293" i="1"/>
  <c r="I293" i="1"/>
  <c r="I295" i="1"/>
  <c r="J293" i="1"/>
  <c r="K293" i="1"/>
  <c r="L293" i="1"/>
  <c r="N293" i="1"/>
  <c r="O293" i="1"/>
  <c r="P293" i="1"/>
  <c r="G294" i="1"/>
  <c r="G295" i="1"/>
  <c r="H294" i="1"/>
  <c r="H295" i="1"/>
  <c r="I294" i="1"/>
  <c r="J294" i="1"/>
  <c r="J295" i="1"/>
  <c r="L294" i="1"/>
  <c r="N294" i="1"/>
  <c r="N295" i="1"/>
  <c r="O294" i="1"/>
  <c r="P294" i="1"/>
  <c r="F296" i="1"/>
  <c r="M296" i="1"/>
  <c r="F297" i="1"/>
  <c r="M297" i="1"/>
  <c r="F298" i="1"/>
  <c r="G298" i="1"/>
  <c r="H298" i="1"/>
  <c r="I298" i="1"/>
  <c r="J298" i="1"/>
  <c r="K298" i="1"/>
  <c r="L298" i="1"/>
  <c r="N298" i="1"/>
  <c r="O298" i="1"/>
  <c r="P298" i="1"/>
  <c r="F299" i="1"/>
  <c r="E299" i="1"/>
  <c r="M299" i="1"/>
  <c r="F300" i="1"/>
  <c r="M300" i="1"/>
  <c r="G301" i="1"/>
  <c r="H301" i="1"/>
  <c r="I301" i="1"/>
  <c r="J301" i="1"/>
  <c r="K301" i="1"/>
  <c r="L301" i="1"/>
  <c r="M301" i="1"/>
  <c r="N301" i="1"/>
  <c r="O301" i="1"/>
  <c r="P301" i="1"/>
  <c r="D302" i="1"/>
  <c r="E302" i="1"/>
  <c r="F302" i="1"/>
  <c r="M302" i="1"/>
  <c r="F303" i="1"/>
  <c r="E303" i="1"/>
  <c r="M303" i="1"/>
  <c r="G304" i="1"/>
  <c r="H304" i="1"/>
  <c r="I304" i="1"/>
  <c r="J304" i="1"/>
  <c r="K304" i="1"/>
  <c r="L304" i="1"/>
  <c r="M304" i="1"/>
  <c r="N304" i="1"/>
  <c r="O304" i="1"/>
  <c r="P304" i="1"/>
  <c r="E305" i="1"/>
  <c r="D305" i="1"/>
  <c r="F305" i="1"/>
  <c r="M305" i="1"/>
  <c r="M307" i="1"/>
  <c r="F306" i="1"/>
  <c r="F307" i="1"/>
  <c r="M306" i="1"/>
  <c r="G307" i="1"/>
  <c r="H307" i="1"/>
  <c r="I307" i="1"/>
  <c r="J307" i="1"/>
  <c r="L307" i="1"/>
  <c r="N307" i="1"/>
  <c r="O307" i="1"/>
  <c r="P307" i="1"/>
  <c r="F308" i="1"/>
  <c r="M308" i="1"/>
  <c r="F309" i="1"/>
  <c r="E309" i="1"/>
  <c r="E310" i="1"/>
  <c r="D309" i="1"/>
  <c r="D310" i="1"/>
  <c r="M309" i="1"/>
  <c r="G310" i="1"/>
  <c r="H310" i="1"/>
  <c r="I310" i="1"/>
  <c r="J310" i="1"/>
  <c r="K310" i="1"/>
  <c r="L310" i="1"/>
  <c r="M310" i="1"/>
  <c r="N310" i="1"/>
  <c r="O310" i="1"/>
  <c r="P310" i="1"/>
  <c r="G311" i="1"/>
  <c r="H311" i="1"/>
  <c r="I311" i="1"/>
  <c r="J311" i="1"/>
  <c r="K311" i="1"/>
  <c r="L311" i="1"/>
  <c r="N311" i="1"/>
  <c r="N313" i="1"/>
  <c r="O311" i="1"/>
  <c r="P311" i="1"/>
  <c r="H312" i="1"/>
  <c r="H313" i="1"/>
  <c r="I312" i="1"/>
  <c r="I313" i="1"/>
  <c r="J312" i="1"/>
  <c r="K312" i="1"/>
  <c r="L312" i="1"/>
  <c r="L313" i="1"/>
  <c r="N312" i="1"/>
  <c r="O312" i="1"/>
  <c r="P312" i="1"/>
  <c r="P313" i="1"/>
  <c r="E314" i="1"/>
  <c r="D314" i="1"/>
  <c r="F314" i="1"/>
  <c r="M314" i="1"/>
  <c r="F315" i="1"/>
  <c r="F316" i="1"/>
  <c r="M315" i="1"/>
  <c r="M316" i="1"/>
  <c r="G316" i="1"/>
  <c r="H316" i="1"/>
  <c r="I316" i="1"/>
  <c r="J316" i="1"/>
  <c r="K316" i="1"/>
  <c r="L316" i="1"/>
  <c r="N316" i="1"/>
  <c r="O316" i="1"/>
  <c r="P316" i="1"/>
  <c r="E317" i="1"/>
  <c r="D317" i="1"/>
  <c r="F317" i="1"/>
  <c r="M317" i="1"/>
  <c r="M318" i="1"/>
  <c r="H319" i="1"/>
  <c r="I319" i="1"/>
  <c r="J319" i="1"/>
  <c r="K319" i="1"/>
  <c r="L319" i="1"/>
  <c r="M319" i="1"/>
  <c r="N319" i="1"/>
  <c r="O319" i="1"/>
  <c r="P319" i="1"/>
  <c r="D320" i="1"/>
  <c r="F320" i="1"/>
  <c r="E320" i="1"/>
  <c r="M320" i="1"/>
  <c r="F321" i="1"/>
  <c r="E321" i="1"/>
  <c r="D321" i="1"/>
  <c r="D322" i="1"/>
  <c r="M321" i="1"/>
  <c r="F322" i="1"/>
  <c r="G322" i="1"/>
  <c r="H322" i="1"/>
  <c r="I322" i="1"/>
  <c r="J322" i="1"/>
  <c r="K322" i="1"/>
  <c r="L322" i="1"/>
  <c r="N322" i="1"/>
  <c r="O322" i="1"/>
  <c r="P322" i="1"/>
  <c r="F323" i="1"/>
  <c r="E323" i="1"/>
  <c r="M323" i="1"/>
  <c r="F324" i="1"/>
  <c r="E324" i="1"/>
  <c r="M324" i="1"/>
  <c r="G325" i="1"/>
  <c r="H325" i="1"/>
  <c r="I325" i="1"/>
  <c r="J325" i="1"/>
  <c r="K325" i="1"/>
  <c r="L325" i="1"/>
  <c r="N325" i="1"/>
  <c r="O325" i="1"/>
  <c r="P325" i="1"/>
  <c r="F326" i="1"/>
  <c r="E326" i="1"/>
  <c r="M326" i="1"/>
  <c r="M328" i="1"/>
  <c r="F327" i="1"/>
  <c r="E327" i="1"/>
  <c r="D327" i="1"/>
  <c r="M327" i="1"/>
  <c r="M312" i="1"/>
  <c r="G328" i="1"/>
  <c r="H328" i="1"/>
  <c r="I328" i="1"/>
  <c r="J328" i="1"/>
  <c r="K328" i="1"/>
  <c r="L328" i="1"/>
  <c r="N328" i="1"/>
  <c r="O328" i="1"/>
  <c r="P328" i="1"/>
  <c r="F329" i="1"/>
  <c r="E329" i="1"/>
  <c r="M329" i="1"/>
  <c r="F330" i="1"/>
  <c r="E330" i="1"/>
  <c r="D330" i="1"/>
  <c r="M330" i="1"/>
  <c r="F331" i="1"/>
  <c r="G331" i="1"/>
  <c r="H331" i="1"/>
  <c r="I331" i="1"/>
  <c r="J331" i="1"/>
  <c r="K331" i="1"/>
  <c r="L331" i="1"/>
  <c r="M331" i="1"/>
  <c r="N331" i="1"/>
  <c r="O331" i="1"/>
  <c r="P331" i="1"/>
  <c r="E332" i="1"/>
  <c r="F332" i="1"/>
  <c r="M332" i="1"/>
  <c r="E333" i="1"/>
  <c r="D333" i="1"/>
  <c r="D334" i="1"/>
  <c r="F333" i="1"/>
  <c r="M333" i="1"/>
  <c r="E334" i="1"/>
  <c r="F334" i="1"/>
  <c r="G334" i="1"/>
  <c r="H334" i="1"/>
  <c r="I334" i="1"/>
  <c r="J334" i="1"/>
  <c r="K334" i="1"/>
  <c r="L334" i="1"/>
  <c r="N334" i="1"/>
  <c r="O334" i="1"/>
  <c r="P334" i="1"/>
  <c r="F335" i="1"/>
  <c r="E335" i="1"/>
  <c r="M335" i="1"/>
  <c r="M337" i="1"/>
  <c r="F336" i="1"/>
  <c r="M336" i="1"/>
  <c r="G337" i="1"/>
  <c r="H337" i="1"/>
  <c r="I337" i="1"/>
  <c r="J337" i="1"/>
  <c r="K337" i="1"/>
  <c r="L337" i="1"/>
  <c r="N337" i="1"/>
  <c r="O337" i="1"/>
  <c r="P337" i="1"/>
  <c r="G338" i="1"/>
  <c r="H338" i="1"/>
  <c r="H340" i="1"/>
  <c r="I338" i="1"/>
  <c r="I340" i="1"/>
  <c r="J338" i="1"/>
  <c r="K338" i="1"/>
  <c r="K340" i="1"/>
  <c r="L338" i="1"/>
  <c r="M338" i="1"/>
  <c r="N338" i="1"/>
  <c r="N340" i="1"/>
  <c r="O338" i="1"/>
  <c r="P338" i="1"/>
  <c r="G339" i="1"/>
  <c r="G340" i="1"/>
  <c r="H339" i="1"/>
  <c r="I339" i="1"/>
  <c r="J339" i="1"/>
  <c r="J340" i="1"/>
  <c r="K339" i="1"/>
  <c r="L339" i="1"/>
  <c r="N339" i="1"/>
  <c r="O339" i="1"/>
  <c r="P339" i="1"/>
  <c r="P340" i="1"/>
  <c r="L340" i="1"/>
  <c r="O340" i="1"/>
  <c r="F341" i="1"/>
  <c r="F343" i="1"/>
  <c r="M341" i="1"/>
  <c r="F342" i="1"/>
  <c r="M342" i="1"/>
  <c r="M343" i="1"/>
  <c r="G343" i="1"/>
  <c r="H343" i="1"/>
  <c r="I343" i="1"/>
  <c r="J343" i="1"/>
  <c r="K343" i="1"/>
  <c r="L343" i="1"/>
  <c r="N343" i="1"/>
  <c r="O343" i="1"/>
  <c r="P343" i="1"/>
  <c r="E344" i="1"/>
  <c r="D344" i="1"/>
  <c r="F344" i="1"/>
  <c r="M344" i="1"/>
  <c r="F345" i="1"/>
  <c r="F339" i="1"/>
  <c r="M345" i="1"/>
  <c r="G346" i="1"/>
  <c r="H346" i="1"/>
  <c r="I346" i="1"/>
  <c r="J346" i="1"/>
  <c r="K346" i="1"/>
  <c r="L346" i="1"/>
  <c r="M346" i="1"/>
  <c r="N346" i="1"/>
  <c r="O346" i="1"/>
  <c r="P346" i="1"/>
  <c r="G347" i="1"/>
  <c r="H347" i="1"/>
  <c r="I347" i="1"/>
  <c r="I349" i="1"/>
  <c r="J347" i="1"/>
  <c r="K347" i="1"/>
  <c r="L347" i="1"/>
  <c r="L349" i="1"/>
  <c r="N347" i="1"/>
  <c r="O347" i="1"/>
  <c r="P347" i="1"/>
  <c r="G348" i="1"/>
  <c r="G349" i="1"/>
  <c r="I348" i="1"/>
  <c r="J348" i="1"/>
  <c r="J349" i="1"/>
  <c r="K348" i="1"/>
  <c r="L348" i="1"/>
  <c r="N348" i="1"/>
  <c r="O348" i="1"/>
  <c r="P348" i="1"/>
  <c r="E350" i="1"/>
  <c r="F350" i="1"/>
  <c r="M350" i="1"/>
  <c r="F351" i="1"/>
  <c r="E351" i="1"/>
  <c r="D351" i="1"/>
  <c r="M351" i="1"/>
  <c r="G352" i="1"/>
  <c r="H352" i="1"/>
  <c r="I352" i="1"/>
  <c r="J352" i="1"/>
  <c r="K352" i="1"/>
  <c r="L352" i="1"/>
  <c r="M352" i="1"/>
  <c r="N352" i="1"/>
  <c r="O352" i="1"/>
  <c r="P352" i="1"/>
  <c r="E353" i="1"/>
  <c r="F353" i="1"/>
  <c r="M353" i="1"/>
  <c r="E354" i="1"/>
  <c r="F354" i="1"/>
  <c r="M354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F356" i="1"/>
  <c r="M356" i="1"/>
  <c r="F357" i="1"/>
  <c r="M357" i="1"/>
  <c r="F358" i="1"/>
  <c r="G358" i="1"/>
  <c r="H358" i="1"/>
  <c r="I358" i="1"/>
  <c r="J358" i="1"/>
  <c r="K358" i="1"/>
  <c r="L358" i="1"/>
  <c r="N358" i="1"/>
  <c r="O358" i="1"/>
  <c r="P358" i="1"/>
  <c r="F359" i="1"/>
  <c r="F347" i="1"/>
  <c r="E359" i="1"/>
  <c r="E361" i="1"/>
  <c r="M359" i="1"/>
  <c r="F360" i="1"/>
  <c r="E360" i="1"/>
  <c r="D360" i="1"/>
  <c r="M360" i="1"/>
  <c r="M361" i="1"/>
  <c r="F361" i="1"/>
  <c r="G361" i="1"/>
  <c r="H361" i="1"/>
  <c r="I361" i="1"/>
  <c r="J361" i="1"/>
  <c r="K361" i="1"/>
  <c r="L361" i="1"/>
  <c r="N361" i="1"/>
  <c r="O361" i="1"/>
  <c r="P361" i="1"/>
  <c r="F362" i="1"/>
  <c r="E362" i="1"/>
  <c r="M362" i="1"/>
  <c r="M364" i="1"/>
  <c r="F363" i="1"/>
  <c r="E363" i="1"/>
  <c r="D363" i="1"/>
  <c r="M363" i="1"/>
  <c r="G364" i="1"/>
  <c r="H364" i="1"/>
  <c r="I364" i="1"/>
  <c r="J364" i="1"/>
  <c r="K364" i="1"/>
  <c r="L364" i="1"/>
  <c r="N364" i="1"/>
  <c r="O364" i="1"/>
  <c r="P364" i="1"/>
  <c r="F365" i="1"/>
  <c r="E365" i="1"/>
  <c r="M365" i="1"/>
  <c r="M367" i="1"/>
  <c r="F366" i="1"/>
  <c r="E366" i="1"/>
  <c r="D366" i="1"/>
  <c r="M366" i="1"/>
  <c r="F367" i="1"/>
  <c r="G367" i="1"/>
  <c r="H367" i="1"/>
  <c r="I367" i="1"/>
  <c r="J367" i="1"/>
  <c r="K367" i="1"/>
  <c r="L367" i="1"/>
  <c r="N367" i="1"/>
  <c r="O367" i="1"/>
  <c r="P367" i="1"/>
  <c r="F368" i="1"/>
  <c r="F370" i="1"/>
  <c r="E368" i="1"/>
  <c r="D368" i="1"/>
  <c r="D370" i="1"/>
  <c r="M368" i="1"/>
  <c r="F369" i="1"/>
  <c r="E369" i="1"/>
  <c r="D369" i="1"/>
  <c r="M369" i="1"/>
  <c r="G370" i="1"/>
  <c r="H370" i="1"/>
  <c r="I370" i="1"/>
  <c r="J370" i="1"/>
  <c r="K370" i="1"/>
  <c r="L370" i="1"/>
  <c r="N370" i="1"/>
  <c r="O370" i="1"/>
  <c r="P370" i="1"/>
  <c r="F371" i="1"/>
  <c r="E371" i="1"/>
  <c r="M371" i="1"/>
  <c r="M372" i="1"/>
  <c r="G373" i="1"/>
  <c r="I373" i="1"/>
  <c r="J373" i="1"/>
  <c r="K373" i="1"/>
  <c r="L373" i="1"/>
  <c r="N373" i="1"/>
  <c r="O373" i="1"/>
  <c r="P373" i="1"/>
  <c r="F374" i="1"/>
  <c r="M374" i="1"/>
  <c r="F375" i="1"/>
  <c r="F376" i="1"/>
  <c r="E375" i="1"/>
  <c r="D375" i="1"/>
  <c r="D376" i="1"/>
  <c r="M375" i="1"/>
  <c r="G376" i="1"/>
  <c r="H376" i="1"/>
  <c r="I376" i="1"/>
  <c r="J376" i="1"/>
  <c r="K376" i="1"/>
  <c r="L376" i="1"/>
  <c r="M376" i="1"/>
  <c r="N376" i="1"/>
  <c r="O376" i="1"/>
  <c r="P376" i="1"/>
  <c r="G377" i="1"/>
  <c r="H377" i="1"/>
  <c r="I377" i="1"/>
  <c r="J377" i="1"/>
  <c r="K377" i="1"/>
  <c r="L377" i="1"/>
  <c r="N377" i="1"/>
  <c r="O377" i="1"/>
  <c r="P377" i="1"/>
  <c r="G378" i="1"/>
  <c r="H378" i="1"/>
  <c r="H379" i="1"/>
  <c r="I378" i="1"/>
  <c r="I379" i="1"/>
  <c r="J378" i="1"/>
  <c r="K378" i="1"/>
  <c r="K379" i="1"/>
  <c r="L378" i="1"/>
  <c r="L379" i="1"/>
  <c r="N378" i="1"/>
  <c r="O378" i="1"/>
  <c r="P378" i="1"/>
  <c r="P379" i="1"/>
  <c r="G379" i="1"/>
  <c r="N379" i="1"/>
  <c r="F380" i="1"/>
  <c r="E380" i="1"/>
  <c r="M380" i="1"/>
  <c r="M377" i="1"/>
  <c r="F381" i="1"/>
  <c r="E381" i="1"/>
  <c r="M381" i="1"/>
  <c r="F382" i="1"/>
  <c r="G382" i="1"/>
  <c r="H382" i="1"/>
  <c r="I382" i="1"/>
  <c r="J382" i="1"/>
  <c r="K382" i="1"/>
  <c r="L382" i="1"/>
  <c r="N382" i="1"/>
  <c r="O382" i="1"/>
  <c r="P382" i="1"/>
  <c r="E383" i="1"/>
  <c r="E385" i="1"/>
  <c r="F383" i="1"/>
  <c r="M383" i="1"/>
  <c r="E384" i="1"/>
  <c r="F384" i="1"/>
  <c r="M384" i="1"/>
  <c r="F385" i="1"/>
  <c r="G385" i="1"/>
  <c r="H385" i="1"/>
  <c r="I385" i="1"/>
  <c r="J385" i="1"/>
  <c r="K385" i="1"/>
  <c r="L385" i="1"/>
  <c r="M385" i="1"/>
  <c r="N385" i="1"/>
  <c r="O385" i="1"/>
  <c r="P385" i="1"/>
  <c r="D386" i="1"/>
  <c r="F386" i="1"/>
  <c r="E386" i="1"/>
  <c r="M386" i="1"/>
  <c r="F387" i="1"/>
  <c r="E387" i="1"/>
  <c r="E388" i="1"/>
  <c r="D387" i="1"/>
  <c r="M387" i="1"/>
  <c r="F388" i="1"/>
  <c r="G388" i="1"/>
  <c r="H388" i="1"/>
  <c r="I388" i="1"/>
  <c r="J388" i="1"/>
  <c r="K388" i="1"/>
  <c r="L388" i="1"/>
  <c r="N388" i="1"/>
  <c r="O388" i="1"/>
  <c r="P388" i="1"/>
  <c r="F389" i="1"/>
  <c r="E389" i="1"/>
  <c r="M389" i="1"/>
  <c r="F390" i="1"/>
  <c r="M390" i="1"/>
  <c r="M391" i="1"/>
  <c r="G391" i="1"/>
  <c r="H391" i="1"/>
  <c r="I391" i="1"/>
  <c r="J391" i="1"/>
  <c r="K391" i="1"/>
  <c r="L391" i="1"/>
  <c r="N391" i="1"/>
  <c r="O391" i="1"/>
  <c r="P391" i="1"/>
  <c r="E392" i="1"/>
  <c r="F392" i="1"/>
  <c r="M392" i="1"/>
  <c r="F393" i="1"/>
  <c r="E393" i="1"/>
  <c r="D393" i="1"/>
  <c r="D394" i="1"/>
  <c r="M393" i="1"/>
  <c r="G394" i="1"/>
  <c r="H394" i="1"/>
  <c r="I394" i="1"/>
  <c r="J394" i="1"/>
  <c r="K394" i="1"/>
  <c r="L394" i="1"/>
  <c r="M394" i="1"/>
  <c r="N394" i="1"/>
  <c r="O394" i="1"/>
  <c r="P394" i="1"/>
  <c r="E395" i="1"/>
  <c r="D395" i="1"/>
  <c r="D397" i="1"/>
  <c r="F395" i="1"/>
  <c r="M395" i="1"/>
  <c r="E396" i="1"/>
  <c r="D396" i="1"/>
  <c r="F396" i="1"/>
  <c r="M396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F398" i="1"/>
  <c r="E398" i="1"/>
  <c r="M398" i="1"/>
  <c r="F399" i="1"/>
  <c r="E399" i="1"/>
  <c r="D399" i="1"/>
  <c r="D400" i="1"/>
  <c r="M399" i="1"/>
  <c r="F400" i="1"/>
  <c r="G400" i="1"/>
  <c r="H400" i="1"/>
  <c r="I400" i="1"/>
  <c r="J400" i="1"/>
  <c r="K400" i="1"/>
  <c r="L400" i="1"/>
  <c r="N400" i="1"/>
  <c r="O400" i="1"/>
  <c r="P400" i="1"/>
  <c r="F401" i="1"/>
  <c r="E401" i="1"/>
  <c r="M401" i="1"/>
  <c r="M403" i="1"/>
  <c r="F402" i="1"/>
  <c r="E402" i="1"/>
  <c r="D402" i="1"/>
  <c r="M402" i="1"/>
  <c r="F403" i="1"/>
  <c r="G403" i="1"/>
  <c r="H403" i="1"/>
  <c r="I403" i="1"/>
  <c r="J403" i="1"/>
  <c r="K403" i="1"/>
  <c r="L403" i="1"/>
  <c r="N403" i="1"/>
  <c r="O403" i="1"/>
  <c r="P403" i="1"/>
  <c r="E404" i="1"/>
  <c r="D404" i="1"/>
  <c r="F404" i="1"/>
  <c r="M404" i="1"/>
  <c r="E405" i="1"/>
  <c r="D405" i="1"/>
  <c r="D406" i="1"/>
  <c r="F405" i="1"/>
  <c r="M405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F407" i="1"/>
  <c r="E407" i="1"/>
  <c r="M407" i="1"/>
  <c r="M409" i="1"/>
  <c r="F408" i="1"/>
  <c r="F409" i="1"/>
  <c r="M408" i="1"/>
  <c r="G409" i="1"/>
  <c r="H409" i="1"/>
  <c r="I409" i="1"/>
  <c r="J409" i="1"/>
  <c r="K409" i="1"/>
  <c r="L409" i="1"/>
  <c r="N409" i="1"/>
  <c r="O409" i="1"/>
  <c r="P409" i="1"/>
  <c r="G410" i="1"/>
  <c r="H410" i="1"/>
  <c r="I410" i="1"/>
  <c r="J410" i="1"/>
  <c r="K410" i="1"/>
  <c r="L410" i="1"/>
  <c r="M410" i="1"/>
  <c r="N410" i="1"/>
  <c r="O410" i="1"/>
  <c r="P410" i="1"/>
  <c r="G411" i="1"/>
  <c r="H411" i="1"/>
  <c r="I411" i="1"/>
  <c r="J411" i="1"/>
  <c r="K411" i="1"/>
  <c r="L411" i="1"/>
  <c r="M411" i="1"/>
  <c r="N411" i="1"/>
  <c r="O411" i="1"/>
  <c r="P411" i="1"/>
  <c r="I412" i="1"/>
  <c r="K412" i="1"/>
  <c r="L412" i="1"/>
  <c r="P412" i="1"/>
  <c r="F413" i="1"/>
  <c r="M413" i="1"/>
  <c r="F414" i="1"/>
  <c r="E414" i="1"/>
  <c r="M414" i="1"/>
  <c r="F415" i="1"/>
  <c r="F412" i="1"/>
  <c r="G415" i="1"/>
  <c r="G412" i="1"/>
  <c r="H415" i="1"/>
  <c r="H412" i="1"/>
  <c r="I415" i="1"/>
  <c r="J415" i="1"/>
  <c r="J412" i="1"/>
  <c r="K415" i="1"/>
  <c r="L415" i="1"/>
  <c r="N415" i="1"/>
  <c r="N412" i="1"/>
  <c r="O415" i="1"/>
  <c r="O412" i="1"/>
  <c r="P415" i="1"/>
  <c r="G416" i="1"/>
  <c r="H416" i="1"/>
  <c r="I416" i="1"/>
  <c r="J416" i="1"/>
  <c r="K416" i="1"/>
  <c r="L416" i="1"/>
  <c r="N416" i="1"/>
  <c r="O416" i="1"/>
  <c r="P416" i="1"/>
  <c r="G417" i="1"/>
  <c r="H417" i="1"/>
  <c r="I417" i="1"/>
  <c r="J417" i="1"/>
  <c r="K417" i="1"/>
  <c r="L417" i="1"/>
  <c r="N417" i="1"/>
  <c r="O417" i="1"/>
  <c r="P417" i="1"/>
  <c r="H418" i="1"/>
  <c r="O418" i="1"/>
  <c r="P418" i="1"/>
  <c r="F419" i="1"/>
  <c r="F416" i="1"/>
  <c r="E419" i="1"/>
  <c r="M419" i="1"/>
  <c r="M416" i="1"/>
  <c r="F420" i="1"/>
  <c r="M420" i="1"/>
  <c r="M421" i="1"/>
  <c r="M418" i="1"/>
  <c r="G421" i="1"/>
  <c r="G418" i="1"/>
  <c r="H421" i="1"/>
  <c r="I421" i="1"/>
  <c r="I418" i="1"/>
  <c r="J421" i="1"/>
  <c r="J418" i="1"/>
  <c r="K421" i="1"/>
  <c r="K418" i="1"/>
  <c r="L421" i="1"/>
  <c r="L418" i="1"/>
  <c r="N421" i="1"/>
  <c r="N418" i="1"/>
  <c r="O421" i="1"/>
  <c r="P421" i="1"/>
  <c r="G19" i="3"/>
  <c r="J19" i="3"/>
  <c r="J21" i="3"/>
  <c r="K19" i="3"/>
  <c r="G20" i="3"/>
  <c r="J20" i="3"/>
  <c r="K20" i="3"/>
  <c r="G21" i="3"/>
  <c r="I22" i="3"/>
  <c r="I24" i="3"/>
  <c r="I23" i="3"/>
  <c r="I20" i="3"/>
  <c r="G24" i="3"/>
  <c r="J24" i="3"/>
  <c r="K24" i="3"/>
  <c r="G25" i="3"/>
  <c r="J25" i="3"/>
  <c r="K25" i="3"/>
  <c r="J26" i="3"/>
  <c r="K26" i="3"/>
  <c r="I28" i="3"/>
  <c r="I30" i="3"/>
  <c r="I29" i="3"/>
  <c r="G30" i="3"/>
  <c r="J30" i="3"/>
  <c r="K30" i="3"/>
  <c r="I31" i="3"/>
  <c r="I33" i="3"/>
  <c r="I32" i="3"/>
  <c r="G33" i="3"/>
  <c r="J33" i="3"/>
  <c r="K33" i="3"/>
  <c r="I34" i="3"/>
  <c r="I35" i="3"/>
  <c r="I36" i="3"/>
  <c r="G36" i="3"/>
  <c r="J36" i="3"/>
  <c r="K36" i="3"/>
  <c r="I37" i="3"/>
  <c r="G38" i="3"/>
  <c r="I38" i="3"/>
  <c r="I39" i="3"/>
  <c r="J39" i="3"/>
  <c r="K39" i="3"/>
  <c r="I40" i="3"/>
  <c r="I41" i="3"/>
  <c r="I42" i="3"/>
  <c r="G42" i="3"/>
  <c r="J42" i="3"/>
  <c r="K42" i="3"/>
  <c r="I43" i="3"/>
  <c r="I45" i="3"/>
  <c r="I44" i="3"/>
  <c r="G45" i="3"/>
  <c r="J45" i="3"/>
  <c r="K45" i="3"/>
  <c r="I46" i="3"/>
  <c r="I47" i="3"/>
  <c r="I48" i="3"/>
  <c r="G48" i="3"/>
  <c r="J48" i="3"/>
  <c r="K48" i="3"/>
  <c r="I49" i="3"/>
  <c r="I51" i="3"/>
  <c r="I50" i="3"/>
  <c r="G51" i="3"/>
  <c r="J51" i="3"/>
  <c r="K51" i="3"/>
  <c r="I52" i="3"/>
  <c r="I54" i="3"/>
  <c r="I53" i="3"/>
  <c r="G54" i="3"/>
  <c r="J54" i="3"/>
  <c r="K54" i="3"/>
  <c r="I55" i="3"/>
  <c r="I57" i="3"/>
  <c r="I56" i="3"/>
  <c r="G57" i="3"/>
  <c r="J57" i="3"/>
  <c r="K57" i="3"/>
  <c r="I58" i="3"/>
  <c r="I59" i="3"/>
  <c r="I60" i="3"/>
  <c r="G60" i="3"/>
  <c r="J60" i="3"/>
  <c r="K60" i="3"/>
  <c r="G61" i="3"/>
  <c r="J61" i="3"/>
  <c r="K61" i="3"/>
  <c r="K63" i="3"/>
  <c r="G62" i="3"/>
  <c r="J62" i="3"/>
  <c r="J63" i="3"/>
  <c r="K62" i="3"/>
  <c r="G63" i="3"/>
  <c r="I64" i="3"/>
  <c r="I61" i="3"/>
  <c r="I63" i="3"/>
  <c r="I65" i="3"/>
  <c r="I62" i="3"/>
  <c r="G66" i="3"/>
  <c r="J66" i="3"/>
  <c r="K66" i="3"/>
  <c r="G67" i="3"/>
  <c r="H67" i="3"/>
  <c r="I67" i="3"/>
  <c r="J67" i="3"/>
  <c r="K67" i="3"/>
  <c r="K69" i="3"/>
  <c r="G68" i="3"/>
  <c r="G69" i="3"/>
  <c r="J68" i="3"/>
  <c r="J69" i="3"/>
  <c r="K68" i="3"/>
  <c r="I70" i="3"/>
  <c r="I71" i="3"/>
  <c r="I68" i="3"/>
  <c r="I69" i="3"/>
  <c r="G72" i="3"/>
  <c r="J72" i="3"/>
  <c r="K72" i="3"/>
  <c r="I73" i="3"/>
  <c r="I74" i="3"/>
  <c r="G75" i="3"/>
  <c r="I75" i="3"/>
  <c r="J75" i="3"/>
  <c r="K75" i="3"/>
  <c r="G76" i="3"/>
  <c r="J76" i="3"/>
  <c r="K76" i="3"/>
  <c r="K78" i="3"/>
  <c r="G77" i="3"/>
  <c r="J77" i="3"/>
  <c r="K77" i="3"/>
  <c r="G78" i="3"/>
  <c r="I79" i="3"/>
  <c r="I81" i="3"/>
  <c r="I80" i="3"/>
  <c r="I77" i="3"/>
  <c r="G81" i="3"/>
  <c r="J81" i="3"/>
  <c r="K81" i="3"/>
  <c r="G82" i="3"/>
  <c r="J82" i="3"/>
  <c r="K82" i="3"/>
  <c r="K84" i="3"/>
  <c r="G83" i="3"/>
  <c r="J83" i="3"/>
  <c r="J84" i="3"/>
  <c r="K83" i="3"/>
  <c r="I85" i="3"/>
  <c r="I82" i="3"/>
  <c r="I84" i="3"/>
  <c r="I86" i="3"/>
  <c r="I83" i="3"/>
  <c r="G87" i="3"/>
  <c r="J87" i="3"/>
  <c r="K87" i="3"/>
  <c r="G88" i="3"/>
  <c r="J88" i="3"/>
  <c r="K88" i="3"/>
  <c r="K90" i="3"/>
  <c r="G89" i="3"/>
  <c r="J89" i="3"/>
  <c r="K89" i="3"/>
  <c r="G90" i="3"/>
  <c r="I91" i="3"/>
  <c r="I93" i="3"/>
  <c r="I92" i="3"/>
  <c r="G93" i="3"/>
  <c r="J93" i="3"/>
  <c r="K93" i="3"/>
  <c r="I94" i="3"/>
  <c r="I95" i="3"/>
  <c r="G96" i="3"/>
  <c r="I96" i="3"/>
  <c r="J96" i="3"/>
  <c r="K96" i="3"/>
  <c r="I97" i="3"/>
  <c r="I99" i="3"/>
  <c r="I98" i="3"/>
  <c r="G99" i="3"/>
  <c r="J99" i="3"/>
  <c r="K99" i="3"/>
  <c r="I100" i="3"/>
  <c r="I101" i="3"/>
  <c r="G102" i="3"/>
  <c r="J102" i="3"/>
  <c r="K102" i="3"/>
  <c r="I103" i="3"/>
  <c r="I104" i="3"/>
  <c r="G105" i="3"/>
  <c r="J105" i="3"/>
  <c r="K105" i="3"/>
  <c r="I106" i="3"/>
  <c r="I107" i="3"/>
  <c r="G108" i="3"/>
  <c r="J108" i="3"/>
  <c r="K108" i="3"/>
  <c r="I109" i="3"/>
  <c r="I110" i="3"/>
  <c r="G111" i="3"/>
  <c r="J111" i="3"/>
  <c r="K111" i="3"/>
  <c r="I112" i="3"/>
  <c r="I114" i="3"/>
  <c r="I113" i="3"/>
  <c r="G114" i="3"/>
  <c r="J114" i="3"/>
  <c r="K114" i="3"/>
  <c r="I115" i="3"/>
  <c r="I117" i="3"/>
  <c r="I116" i="3"/>
  <c r="G117" i="3"/>
  <c r="J117" i="3"/>
  <c r="K117" i="3"/>
  <c r="I118" i="3"/>
  <c r="I119" i="3"/>
  <c r="G120" i="3"/>
  <c r="I120" i="3"/>
  <c r="J120" i="3"/>
  <c r="K120" i="3"/>
  <c r="I121" i="3"/>
  <c r="I123" i="3"/>
  <c r="I122" i="3"/>
  <c r="G123" i="3"/>
  <c r="J123" i="3"/>
  <c r="K123" i="3"/>
  <c r="I124" i="3"/>
  <c r="I126" i="3"/>
  <c r="I125" i="3"/>
  <c r="G126" i="3"/>
  <c r="J126" i="3"/>
  <c r="K126" i="3"/>
  <c r="I127" i="3"/>
  <c r="I128" i="3"/>
  <c r="G129" i="3"/>
  <c r="J129" i="3"/>
  <c r="K129" i="3"/>
  <c r="I130" i="3"/>
  <c r="I132" i="3"/>
  <c r="I131" i="3"/>
  <c r="G132" i="3"/>
  <c r="J132" i="3"/>
  <c r="K132" i="3"/>
  <c r="I133" i="3"/>
  <c r="I134" i="3"/>
  <c r="G135" i="3"/>
  <c r="J135" i="3"/>
  <c r="K135" i="3"/>
  <c r="G136" i="3"/>
  <c r="H136" i="3"/>
  <c r="J136" i="3"/>
  <c r="J138" i="3"/>
  <c r="K136" i="3"/>
  <c r="G137" i="3"/>
  <c r="G138" i="3"/>
  <c r="J137" i="3"/>
  <c r="K137" i="3"/>
  <c r="K138" i="3"/>
  <c r="I139" i="3"/>
  <c r="I136" i="3"/>
  <c r="I138" i="3"/>
  <c r="I140" i="3"/>
  <c r="I137" i="3"/>
  <c r="G141" i="3"/>
  <c r="J141" i="3"/>
  <c r="K141" i="3"/>
  <c r="G142" i="3"/>
  <c r="J142" i="3"/>
  <c r="K142" i="3"/>
  <c r="K144" i="3"/>
  <c r="G143" i="3"/>
  <c r="G144" i="3"/>
  <c r="J143" i="3"/>
  <c r="K143" i="3"/>
  <c r="I145" i="3"/>
  <c r="I142" i="3"/>
  <c r="I146" i="3"/>
  <c r="I147" i="3"/>
  <c r="G147" i="3"/>
  <c r="J147" i="3"/>
  <c r="K147" i="3"/>
  <c r="G148" i="3"/>
  <c r="G150" i="3"/>
  <c r="J148" i="3"/>
  <c r="K148" i="3"/>
  <c r="K150" i="3"/>
  <c r="G149" i="3"/>
  <c r="J149" i="3"/>
  <c r="K149" i="3"/>
  <c r="I151" i="3"/>
  <c r="I152" i="3"/>
  <c r="I153" i="3"/>
  <c r="G153" i="3"/>
  <c r="J153" i="3"/>
  <c r="K153" i="3"/>
  <c r="I154" i="3"/>
  <c r="I155" i="3"/>
  <c r="I156" i="3"/>
  <c r="G156" i="3"/>
  <c r="J156" i="3"/>
  <c r="K156" i="3"/>
  <c r="I157" i="3"/>
  <c r="I158" i="3"/>
  <c r="G159" i="3"/>
  <c r="J159" i="3"/>
  <c r="K159" i="3"/>
  <c r="I160" i="3"/>
  <c r="I148" i="3"/>
  <c r="I161" i="3"/>
  <c r="I162" i="3"/>
  <c r="G162" i="3"/>
  <c r="J162" i="3"/>
  <c r="K162" i="3"/>
  <c r="I166" i="3"/>
  <c r="I167" i="3"/>
  <c r="G168" i="3"/>
  <c r="J168" i="3"/>
  <c r="K168" i="3"/>
  <c r="I169" i="3"/>
  <c r="I171" i="3"/>
  <c r="I170" i="3"/>
  <c r="G171" i="3"/>
  <c r="J171" i="3"/>
  <c r="K171" i="3"/>
  <c r="I172" i="3"/>
  <c r="I173" i="3"/>
  <c r="G174" i="3"/>
  <c r="J174" i="3"/>
  <c r="K174" i="3"/>
  <c r="I178" i="3"/>
  <c r="I179" i="3"/>
  <c r="I180" i="3"/>
  <c r="G180" i="3"/>
  <c r="J180" i="3"/>
  <c r="K180" i="3"/>
  <c r="I181" i="3"/>
  <c r="I183" i="3"/>
  <c r="I182" i="3"/>
  <c r="G183" i="3"/>
  <c r="J183" i="3"/>
  <c r="K183" i="3"/>
  <c r="I184" i="3"/>
  <c r="I186" i="3"/>
  <c r="I185" i="3"/>
  <c r="G186" i="3"/>
  <c r="J186" i="3"/>
  <c r="K186" i="3"/>
  <c r="I187" i="3"/>
  <c r="I188" i="3"/>
  <c r="G189" i="3"/>
  <c r="J189" i="3"/>
  <c r="K189" i="3"/>
  <c r="I193" i="3"/>
  <c r="I195" i="3"/>
  <c r="I194" i="3"/>
  <c r="G195" i="3"/>
  <c r="J195" i="3"/>
  <c r="K195" i="3"/>
  <c r="I196" i="3"/>
  <c r="I198" i="3"/>
  <c r="I197" i="3"/>
  <c r="G198" i="3"/>
  <c r="J198" i="3"/>
  <c r="K198" i="3"/>
  <c r="I199" i="3"/>
  <c r="I200" i="3"/>
  <c r="I201" i="3"/>
  <c r="G201" i="3"/>
  <c r="J201" i="3"/>
  <c r="K201" i="3"/>
  <c r="I202" i="3"/>
  <c r="I203" i="3"/>
  <c r="G204" i="3"/>
  <c r="J204" i="3"/>
  <c r="K204" i="3"/>
  <c r="I205" i="3"/>
  <c r="I207" i="3"/>
  <c r="I206" i="3"/>
  <c r="G207" i="3"/>
  <c r="J207" i="3"/>
  <c r="K207" i="3"/>
  <c r="I208" i="3"/>
  <c r="I209" i="3"/>
  <c r="I210" i="3"/>
  <c r="G210" i="3"/>
  <c r="J210" i="3"/>
  <c r="K210" i="3"/>
  <c r="I211" i="3"/>
  <c r="I213" i="3"/>
  <c r="I212" i="3"/>
  <c r="G213" i="3"/>
  <c r="J213" i="3"/>
  <c r="K213" i="3"/>
  <c r="I214" i="3"/>
  <c r="I215" i="3"/>
  <c r="G216" i="3"/>
  <c r="J216" i="3"/>
  <c r="K216" i="3"/>
  <c r="I217" i="3"/>
  <c r="I219" i="3"/>
  <c r="I218" i="3"/>
  <c r="G219" i="3"/>
  <c r="J219" i="3"/>
  <c r="K219" i="3"/>
  <c r="I220" i="3"/>
  <c r="I221" i="3"/>
  <c r="G222" i="3"/>
  <c r="J222" i="3"/>
  <c r="K222" i="3"/>
  <c r="I223" i="3"/>
  <c r="I224" i="3"/>
  <c r="I225" i="3"/>
  <c r="G225" i="3"/>
  <c r="J225" i="3"/>
  <c r="K225" i="3"/>
  <c r="I226" i="3"/>
  <c r="I228" i="3"/>
  <c r="I227" i="3"/>
  <c r="G228" i="3"/>
  <c r="J228" i="3"/>
  <c r="K228" i="3"/>
  <c r="I229" i="3"/>
  <c r="I231" i="3"/>
  <c r="I230" i="3"/>
  <c r="G231" i="3"/>
  <c r="J231" i="3"/>
  <c r="K231" i="3"/>
  <c r="I232" i="3"/>
  <c r="I234" i="3"/>
  <c r="I233" i="3"/>
  <c r="G234" i="3"/>
  <c r="J234" i="3"/>
  <c r="K234" i="3"/>
  <c r="G235" i="3"/>
  <c r="J235" i="3"/>
  <c r="K235" i="3"/>
  <c r="G236" i="3"/>
  <c r="G237" i="3"/>
  <c r="J236" i="3"/>
  <c r="J237" i="3"/>
  <c r="K236" i="3"/>
  <c r="K237" i="3"/>
  <c r="I238" i="3"/>
  <c r="I239" i="3"/>
  <c r="I240" i="3"/>
  <c r="G240" i="3"/>
  <c r="J240" i="3"/>
  <c r="K240" i="3"/>
  <c r="I241" i="3"/>
  <c r="I243" i="3"/>
  <c r="I242" i="3"/>
  <c r="G243" i="3"/>
  <c r="J243" i="3"/>
  <c r="K243" i="3"/>
  <c r="I244" i="3"/>
  <c r="I246" i="3"/>
  <c r="I245" i="3"/>
  <c r="G246" i="3"/>
  <c r="J246" i="3"/>
  <c r="K246" i="3"/>
  <c r="G247" i="3"/>
  <c r="H247" i="3"/>
  <c r="J247" i="3"/>
  <c r="J249" i="3"/>
  <c r="K247" i="3"/>
  <c r="K249" i="3"/>
  <c r="G248" i="3"/>
  <c r="J248" i="3"/>
  <c r="K248" i="3"/>
  <c r="G249" i="3"/>
  <c r="I250" i="3"/>
  <c r="I251" i="3"/>
  <c r="I248" i="3"/>
  <c r="I249" i="3"/>
  <c r="G252" i="3"/>
  <c r="J252" i="3"/>
  <c r="K252" i="3"/>
  <c r="G260" i="3"/>
  <c r="H260" i="3"/>
  <c r="J260" i="3"/>
  <c r="K260" i="3"/>
  <c r="G261" i="3"/>
  <c r="H261" i="3"/>
  <c r="J261" i="3"/>
  <c r="J262" i="3"/>
  <c r="K261" i="3"/>
  <c r="H263" i="3"/>
  <c r="I263" i="3"/>
  <c r="I265" i="3"/>
  <c r="I264" i="3"/>
  <c r="G265" i="3"/>
  <c r="H265" i="3"/>
  <c r="J265" i="3"/>
  <c r="K265" i="3"/>
  <c r="I266" i="3"/>
  <c r="I267" i="3"/>
  <c r="G268" i="3"/>
  <c r="H268" i="3"/>
  <c r="J268" i="3"/>
  <c r="K268" i="3"/>
  <c r="I269" i="3"/>
  <c r="I260" i="3"/>
  <c r="I270" i="3"/>
  <c r="G271" i="3"/>
  <c r="H271" i="3"/>
  <c r="J271" i="3"/>
  <c r="K271" i="3"/>
  <c r="I272" i="3"/>
  <c r="I274" i="3"/>
  <c r="I273" i="3"/>
  <c r="I261" i="3"/>
  <c r="G274" i="3"/>
  <c r="H274" i="3"/>
  <c r="J274" i="3"/>
  <c r="K274" i="3"/>
  <c r="I275" i="3"/>
  <c r="I276" i="3"/>
  <c r="I277" i="3"/>
  <c r="G277" i="3"/>
  <c r="H277" i="3"/>
  <c r="J277" i="3"/>
  <c r="K277" i="3"/>
  <c r="I278" i="3"/>
  <c r="I279" i="3"/>
  <c r="I280" i="3"/>
  <c r="G280" i="3"/>
  <c r="H280" i="3"/>
  <c r="J280" i="3"/>
  <c r="K280" i="3"/>
  <c r="I281" i="3"/>
  <c r="I283" i="3"/>
  <c r="I282" i="3"/>
  <c r="G283" i="3"/>
  <c r="H283" i="3"/>
  <c r="J283" i="3"/>
  <c r="K283" i="3"/>
  <c r="I284" i="3"/>
  <c r="I286" i="3"/>
  <c r="I285" i="3"/>
  <c r="G286" i="3"/>
  <c r="H286" i="3"/>
  <c r="J286" i="3"/>
  <c r="K286" i="3"/>
  <c r="I287" i="3"/>
  <c r="I288" i="3"/>
  <c r="I289" i="3"/>
  <c r="G289" i="3"/>
  <c r="H289" i="3"/>
  <c r="J289" i="3"/>
  <c r="K289" i="3"/>
  <c r="I290" i="3"/>
  <c r="I291" i="3"/>
  <c r="I292" i="3"/>
  <c r="G292" i="3"/>
  <c r="H292" i="3"/>
  <c r="J292" i="3"/>
  <c r="K292" i="3"/>
  <c r="I293" i="3"/>
  <c r="I295" i="3"/>
  <c r="I294" i="3"/>
  <c r="G295" i="3"/>
  <c r="H295" i="3"/>
  <c r="J295" i="3"/>
  <c r="K295" i="3"/>
  <c r="I296" i="3"/>
  <c r="I297" i="3"/>
  <c r="I298" i="3"/>
  <c r="G298" i="3"/>
  <c r="H298" i="3"/>
  <c r="J298" i="3"/>
  <c r="K298" i="3"/>
  <c r="I299" i="3"/>
  <c r="I300" i="3"/>
  <c r="I301" i="3"/>
  <c r="G301" i="3"/>
  <c r="H301" i="3"/>
  <c r="J301" i="3"/>
  <c r="K301" i="3"/>
  <c r="I302" i="3"/>
  <c r="I303" i="3"/>
  <c r="I304" i="3"/>
  <c r="G304" i="3"/>
  <c r="H304" i="3"/>
  <c r="J304" i="3"/>
  <c r="K304" i="3"/>
  <c r="I305" i="3"/>
  <c r="I306" i="3"/>
  <c r="G307" i="3"/>
  <c r="H307" i="3"/>
  <c r="I307" i="3"/>
  <c r="J307" i="3"/>
  <c r="K307" i="3"/>
  <c r="G308" i="3"/>
  <c r="H308" i="3"/>
  <c r="J308" i="3"/>
  <c r="K308" i="3"/>
  <c r="K310" i="3"/>
  <c r="G309" i="3"/>
  <c r="H309" i="3"/>
  <c r="H310" i="3"/>
  <c r="J309" i="3"/>
  <c r="K309" i="3"/>
  <c r="G310" i="3"/>
  <c r="J310" i="3"/>
  <c r="H311" i="3"/>
  <c r="I311" i="3"/>
  <c r="I312" i="3"/>
  <c r="I309" i="3"/>
  <c r="G313" i="3"/>
  <c r="H313" i="3"/>
  <c r="J313" i="3"/>
  <c r="K313" i="3"/>
  <c r="I314" i="3"/>
  <c r="I308" i="3"/>
  <c r="I310" i="3"/>
  <c r="I315" i="3"/>
  <c r="I316" i="3"/>
  <c r="G316" i="3"/>
  <c r="H316" i="3"/>
  <c r="J316" i="3"/>
  <c r="K316" i="3"/>
  <c r="I317" i="3"/>
  <c r="I318" i="3"/>
  <c r="I319" i="3"/>
  <c r="G319" i="3"/>
  <c r="H319" i="3"/>
  <c r="J319" i="3"/>
  <c r="K319" i="3"/>
  <c r="G320" i="3"/>
  <c r="H320" i="3"/>
  <c r="J320" i="3"/>
  <c r="J393" i="3"/>
  <c r="K320" i="3"/>
  <c r="K322" i="3"/>
  <c r="G321" i="3"/>
  <c r="H321" i="3"/>
  <c r="H322" i="3"/>
  <c r="J321" i="3"/>
  <c r="K321" i="3"/>
  <c r="I323" i="3"/>
  <c r="I325" i="3"/>
  <c r="I324" i="3"/>
  <c r="I321" i="3"/>
  <c r="G325" i="3"/>
  <c r="H325" i="3"/>
  <c r="J325" i="3"/>
  <c r="K325" i="3"/>
  <c r="G326" i="3"/>
  <c r="G328" i="3"/>
  <c r="H326" i="3"/>
  <c r="J326" i="3"/>
  <c r="J328" i="3"/>
  <c r="K326" i="3"/>
  <c r="G327" i="3"/>
  <c r="H327" i="3"/>
  <c r="J327" i="3"/>
  <c r="K327" i="3"/>
  <c r="H328" i="3"/>
  <c r="K328" i="3"/>
  <c r="I329" i="3"/>
  <c r="I326" i="3"/>
  <c r="I330" i="3"/>
  <c r="I331" i="3"/>
  <c r="G331" i="3"/>
  <c r="H331" i="3"/>
  <c r="J331" i="3"/>
  <c r="K331" i="3"/>
  <c r="G332" i="3"/>
  <c r="H332" i="3"/>
  <c r="J332" i="3"/>
  <c r="J334" i="3"/>
  <c r="K332" i="3"/>
  <c r="K334" i="3"/>
  <c r="G333" i="3"/>
  <c r="H333" i="3"/>
  <c r="J333" i="3"/>
  <c r="K333" i="3"/>
  <c r="H334" i="3"/>
  <c r="I335" i="3"/>
  <c r="I332" i="3"/>
  <c r="I334" i="3"/>
  <c r="I336" i="3"/>
  <c r="I333" i="3"/>
  <c r="I337" i="3"/>
  <c r="G337" i="3"/>
  <c r="H337" i="3"/>
  <c r="J337" i="3"/>
  <c r="K337" i="3"/>
  <c r="G338" i="3"/>
  <c r="H338" i="3"/>
  <c r="H340" i="3"/>
  <c r="J338" i="3"/>
  <c r="K338" i="3"/>
  <c r="K340" i="3"/>
  <c r="G339" i="3"/>
  <c r="H339" i="3"/>
  <c r="J339" i="3"/>
  <c r="K339" i="3"/>
  <c r="G340" i="3"/>
  <c r="J340" i="3"/>
  <c r="I341" i="3"/>
  <c r="I338" i="3"/>
  <c r="I342" i="3"/>
  <c r="I339" i="3"/>
  <c r="G343" i="3"/>
  <c r="H343" i="3"/>
  <c r="J343" i="3"/>
  <c r="K343" i="3"/>
  <c r="I344" i="3"/>
  <c r="I345" i="3"/>
  <c r="I346" i="3"/>
  <c r="G346" i="3"/>
  <c r="H346" i="3"/>
  <c r="J346" i="3"/>
  <c r="K346" i="3"/>
  <c r="G347" i="3"/>
  <c r="G349" i="3"/>
  <c r="H347" i="3"/>
  <c r="H349" i="3"/>
  <c r="J347" i="3"/>
  <c r="K347" i="3"/>
  <c r="K349" i="3"/>
  <c r="G348" i="3"/>
  <c r="H348" i="3"/>
  <c r="J348" i="3"/>
  <c r="J349" i="3"/>
  <c r="K348" i="3"/>
  <c r="H350" i="3"/>
  <c r="I350" i="3"/>
  <c r="I347" i="3"/>
  <c r="I351" i="3"/>
  <c r="I348" i="3"/>
  <c r="G352" i="3"/>
  <c r="H352" i="3"/>
  <c r="J352" i="3"/>
  <c r="K352" i="3"/>
  <c r="G353" i="3"/>
  <c r="H353" i="3"/>
  <c r="J353" i="3"/>
  <c r="J355" i="3"/>
  <c r="K353" i="3"/>
  <c r="G354" i="3"/>
  <c r="H354" i="3"/>
  <c r="I354" i="3"/>
  <c r="J354" i="3"/>
  <c r="K354" i="3"/>
  <c r="G355" i="3"/>
  <c r="H355" i="3"/>
  <c r="K355" i="3"/>
  <c r="I356" i="3"/>
  <c r="I353" i="3"/>
  <c r="I357" i="3"/>
  <c r="G358" i="3"/>
  <c r="H358" i="3"/>
  <c r="I358" i="3"/>
  <c r="J358" i="3"/>
  <c r="K358" i="3"/>
  <c r="I359" i="3"/>
  <c r="I360" i="3"/>
  <c r="I361" i="3"/>
  <c r="G361" i="3"/>
  <c r="H361" i="3"/>
  <c r="J361" i="3"/>
  <c r="K361" i="3"/>
  <c r="G362" i="3"/>
  <c r="J362" i="3"/>
  <c r="K362" i="3"/>
  <c r="K364" i="3"/>
  <c r="G363" i="3"/>
  <c r="H363" i="3"/>
  <c r="J363" i="3"/>
  <c r="J364" i="3"/>
  <c r="K363" i="3"/>
  <c r="G364" i="3"/>
  <c r="H365" i="3"/>
  <c r="I365" i="3"/>
  <c r="I366" i="3"/>
  <c r="G367" i="3"/>
  <c r="H367" i="3"/>
  <c r="J367" i="3"/>
  <c r="K367" i="3"/>
  <c r="I368" i="3"/>
  <c r="I369" i="3"/>
  <c r="I370" i="3"/>
  <c r="G370" i="3"/>
  <c r="H370" i="3"/>
  <c r="J370" i="3"/>
  <c r="K370" i="3"/>
  <c r="I371" i="3"/>
  <c r="I372" i="3"/>
  <c r="G373" i="3"/>
  <c r="H373" i="3"/>
  <c r="I373" i="3"/>
  <c r="J373" i="3"/>
  <c r="K373" i="3"/>
  <c r="I374" i="3"/>
  <c r="I376" i="3"/>
  <c r="I375" i="3"/>
  <c r="G376" i="3"/>
  <c r="H376" i="3"/>
  <c r="J376" i="3"/>
  <c r="K376" i="3"/>
  <c r="I377" i="3"/>
  <c r="I379" i="3"/>
  <c r="I378" i="3"/>
  <c r="G379" i="3"/>
  <c r="H379" i="3"/>
  <c r="J379" i="3"/>
  <c r="K379" i="3"/>
  <c r="I380" i="3"/>
  <c r="I381" i="3"/>
  <c r="I363" i="3"/>
  <c r="G382" i="3"/>
  <c r="H382" i="3"/>
  <c r="J382" i="3"/>
  <c r="K382" i="3"/>
  <c r="I383" i="3"/>
  <c r="I384" i="3"/>
  <c r="I385" i="3"/>
  <c r="G385" i="3"/>
  <c r="H385" i="3"/>
  <c r="J385" i="3"/>
  <c r="K385" i="3"/>
  <c r="H386" i="3"/>
  <c r="H362" i="3"/>
  <c r="H364" i="3"/>
  <c r="I386" i="3"/>
  <c r="I387" i="3"/>
  <c r="G388" i="3"/>
  <c r="H388" i="3"/>
  <c r="I388" i="3"/>
  <c r="J388" i="3"/>
  <c r="K388" i="3"/>
  <c r="I389" i="3"/>
  <c r="I391" i="3"/>
  <c r="I390" i="3"/>
  <c r="G391" i="3"/>
  <c r="H391" i="3"/>
  <c r="J391" i="3"/>
  <c r="K391" i="3"/>
  <c r="I399" i="3"/>
  <c r="I400" i="3"/>
  <c r="I401" i="3"/>
  <c r="J401" i="3"/>
  <c r="K401" i="3"/>
  <c r="I405" i="3"/>
  <c r="I406" i="3"/>
  <c r="I407" i="3"/>
  <c r="J407" i="3"/>
  <c r="K407" i="3"/>
  <c r="I411" i="3"/>
  <c r="I412" i="3"/>
  <c r="G413" i="3"/>
  <c r="J413" i="3"/>
  <c r="K413" i="3"/>
  <c r="F25" i="4"/>
  <c r="G25" i="4"/>
  <c r="G21" i="4"/>
  <c r="L25" i="4"/>
  <c r="M25" i="4"/>
  <c r="M21" i="4"/>
  <c r="N25" i="4"/>
  <c r="N21" i="4"/>
  <c r="N17" i="4"/>
  <c r="N19" i="4"/>
  <c r="F26" i="4"/>
  <c r="F22" i="4"/>
  <c r="F18" i="4"/>
  <c r="G26" i="4"/>
  <c r="G18" i="4"/>
  <c r="G19" i="4"/>
  <c r="L26" i="4"/>
  <c r="M26" i="4"/>
  <c r="M22" i="4"/>
  <c r="N26" i="4"/>
  <c r="E29" i="4"/>
  <c r="E25" i="4"/>
  <c r="E21" i="4"/>
  <c r="E17" i="4"/>
  <c r="K29" i="4"/>
  <c r="K25" i="4"/>
  <c r="E30" i="4"/>
  <c r="E26" i="4"/>
  <c r="K30" i="4"/>
  <c r="K26" i="4"/>
  <c r="K22" i="4"/>
  <c r="K18" i="4"/>
  <c r="F31" i="4"/>
  <c r="G31" i="4"/>
  <c r="L31" i="4"/>
  <c r="M31" i="4"/>
  <c r="N31" i="4"/>
  <c r="F41" i="4"/>
  <c r="F43" i="4"/>
  <c r="G41" i="4"/>
  <c r="L41" i="4"/>
  <c r="L43" i="4"/>
  <c r="M41" i="4"/>
  <c r="N41" i="4"/>
  <c r="N43" i="4"/>
  <c r="F42" i="4"/>
  <c r="G42" i="4"/>
  <c r="G38" i="4"/>
  <c r="G34" i="4"/>
  <c r="L42" i="4"/>
  <c r="M42" i="4"/>
  <c r="M38" i="4"/>
  <c r="M34" i="4"/>
  <c r="N42" i="4"/>
  <c r="E45" i="4"/>
  <c r="K45" i="4"/>
  <c r="K41" i="4"/>
  <c r="E46" i="4"/>
  <c r="E42" i="4"/>
  <c r="K46" i="4"/>
  <c r="K42" i="4"/>
  <c r="K38" i="4"/>
  <c r="K34" i="4"/>
  <c r="F47" i="4"/>
  <c r="G47" i="4"/>
  <c r="L47" i="4"/>
  <c r="M47" i="4"/>
  <c r="N47" i="4"/>
  <c r="F49" i="4"/>
  <c r="G49" i="4"/>
  <c r="L49" i="4"/>
  <c r="L37" i="4"/>
  <c r="M49" i="4"/>
  <c r="N49" i="4"/>
  <c r="F50" i="4"/>
  <c r="G50" i="4"/>
  <c r="L50" i="4"/>
  <c r="M50" i="4"/>
  <c r="N50" i="4"/>
  <c r="N38" i="4"/>
  <c r="N34" i="4"/>
  <c r="E53" i="4"/>
  <c r="E49" i="4"/>
  <c r="K53" i="4"/>
  <c r="K49" i="4"/>
  <c r="E54" i="4"/>
  <c r="E50" i="4"/>
  <c r="E51" i="4"/>
  <c r="K54" i="4"/>
  <c r="F55" i="4"/>
  <c r="G55" i="4"/>
  <c r="L55" i="4"/>
  <c r="M55" i="4"/>
  <c r="N55" i="4"/>
  <c r="F65" i="4"/>
  <c r="F67" i="4"/>
  <c r="G65" i="4"/>
  <c r="L65" i="4"/>
  <c r="M65" i="4"/>
  <c r="N65" i="4"/>
  <c r="F66" i="4"/>
  <c r="F62" i="4"/>
  <c r="G66" i="4"/>
  <c r="G62" i="4"/>
  <c r="L66" i="4"/>
  <c r="L67" i="4"/>
  <c r="M66" i="4"/>
  <c r="M62" i="4"/>
  <c r="N66" i="4"/>
  <c r="N62" i="4"/>
  <c r="E69" i="4"/>
  <c r="K69" i="4"/>
  <c r="K65" i="4"/>
  <c r="K61" i="4"/>
  <c r="E70" i="4"/>
  <c r="E66" i="4"/>
  <c r="E62" i="4"/>
  <c r="K70" i="4"/>
  <c r="F71" i="4"/>
  <c r="G71" i="4"/>
  <c r="L71" i="4"/>
  <c r="M71" i="4"/>
  <c r="N71" i="4"/>
  <c r="F77" i="4"/>
  <c r="G77" i="4"/>
  <c r="G73" i="4"/>
  <c r="L77" i="4"/>
  <c r="M77" i="4"/>
  <c r="N77" i="4"/>
  <c r="F78" i="4"/>
  <c r="F74" i="4"/>
  <c r="G78" i="4"/>
  <c r="G74" i="4"/>
  <c r="L78" i="4"/>
  <c r="L74" i="4"/>
  <c r="L75" i="4"/>
  <c r="M78" i="4"/>
  <c r="M74" i="4"/>
  <c r="N78" i="4"/>
  <c r="N74" i="4"/>
  <c r="E81" i="4"/>
  <c r="K81" i="4"/>
  <c r="E82" i="4"/>
  <c r="E78" i="4"/>
  <c r="K82" i="4"/>
  <c r="K78" i="4"/>
  <c r="K74" i="4"/>
  <c r="F83" i="4"/>
  <c r="G83" i="4"/>
  <c r="L83" i="4"/>
  <c r="M83" i="4"/>
  <c r="N83" i="4"/>
  <c r="K85" i="4"/>
  <c r="K77" i="4"/>
  <c r="K86" i="4"/>
  <c r="L87" i="4"/>
  <c r="M87" i="4"/>
  <c r="N87" i="4"/>
  <c r="F97" i="4"/>
  <c r="G97" i="4"/>
  <c r="L97" i="4"/>
  <c r="L99" i="4"/>
  <c r="L93" i="4"/>
  <c r="L89" i="4"/>
  <c r="L91" i="4"/>
  <c r="M97" i="4"/>
  <c r="N97" i="4"/>
  <c r="F98" i="4"/>
  <c r="F94" i="4"/>
  <c r="F90" i="4"/>
  <c r="F99" i="4"/>
  <c r="G98" i="4"/>
  <c r="G94" i="4"/>
  <c r="G90" i="4"/>
  <c r="L98" i="4"/>
  <c r="L94" i="4"/>
  <c r="L90" i="4"/>
  <c r="M98" i="4"/>
  <c r="M94" i="4"/>
  <c r="M90" i="4"/>
  <c r="N98" i="4"/>
  <c r="E101" i="4"/>
  <c r="E97" i="4"/>
  <c r="K101" i="4"/>
  <c r="K97" i="4"/>
  <c r="K99" i="4"/>
  <c r="E102" i="4"/>
  <c r="E98" i="4"/>
  <c r="E94" i="4"/>
  <c r="E90" i="4"/>
  <c r="K102" i="4"/>
  <c r="K98" i="4"/>
  <c r="K94" i="4"/>
  <c r="K90" i="4"/>
  <c r="F103" i="4"/>
  <c r="G103" i="4"/>
  <c r="L103" i="4"/>
  <c r="M103" i="4"/>
  <c r="N103" i="4"/>
  <c r="F113" i="4"/>
  <c r="F109" i="4"/>
  <c r="G113" i="4"/>
  <c r="L113" i="4"/>
  <c r="L109" i="4"/>
  <c r="M113" i="4"/>
  <c r="N113" i="4"/>
  <c r="N109" i="4"/>
  <c r="F114" i="4"/>
  <c r="G114" i="4"/>
  <c r="G110" i="4"/>
  <c r="L114" i="4"/>
  <c r="M114" i="4"/>
  <c r="M110" i="4"/>
  <c r="N114" i="4"/>
  <c r="E117" i="4"/>
  <c r="E113" i="4"/>
  <c r="E109" i="4"/>
  <c r="K117" i="4"/>
  <c r="K113" i="4"/>
  <c r="K109" i="4"/>
  <c r="K111" i="4"/>
  <c r="E118" i="4"/>
  <c r="E114" i="4"/>
  <c r="E110" i="4"/>
  <c r="K118" i="4"/>
  <c r="F119" i="4"/>
  <c r="G119" i="4"/>
  <c r="L119" i="4"/>
  <c r="M119" i="4"/>
  <c r="N119" i="4"/>
  <c r="K121" i="4"/>
  <c r="K122" i="4"/>
  <c r="K114" i="4"/>
  <c r="K110" i="4"/>
  <c r="L123" i="4"/>
  <c r="M123" i="4"/>
  <c r="N123" i="4"/>
  <c r="F129" i="4"/>
  <c r="F125" i="4"/>
  <c r="F127" i="4"/>
  <c r="G129" i="4"/>
  <c r="G125" i="4"/>
  <c r="L129" i="4"/>
  <c r="M129" i="4"/>
  <c r="M125" i="4"/>
  <c r="N129" i="4"/>
  <c r="F130" i="4"/>
  <c r="G130" i="4"/>
  <c r="G131" i="4"/>
  <c r="L130" i="4"/>
  <c r="L126" i="4"/>
  <c r="M130" i="4"/>
  <c r="N130" i="4"/>
  <c r="N126" i="4"/>
  <c r="E133" i="4"/>
  <c r="E129" i="4"/>
  <c r="E125" i="4"/>
  <c r="K133" i="4"/>
  <c r="E134" i="4"/>
  <c r="E135" i="4"/>
  <c r="K134" i="4"/>
  <c r="K130" i="4"/>
  <c r="K126" i="4"/>
  <c r="F135" i="4"/>
  <c r="G135" i="4"/>
  <c r="L135" i="4"/>
  <c r="M135" i="4"/>
  <c r="N135" i="4"/>
  <c r="F145" i="4"/>
  <c r="G145" i="4"/>
  <c r="L145" i="4"/>
  <c r="M145" i="4"/>
  <c r="M141" i="4"/>
  <c r="N145" i="4"/>
  <c r="N141" i="4"/>
  <c r="F146" i="4"/>
  <c r="F142" i="4"/>
  <c r="F138" i="4"/>
  <c r="G146" i="4"/>
  <c r="G142" i="4"/>
  <c r="L146" i="4"/>
  <c r="L142" i="4"/>
  <c r="L138" i="4"/>
  <c r="M146" i="4"/>
  <c r="M142" i="4"/>
  <c r="M138" i="4"/>
  <c r="N146" i="4"/>
  <c r="E149" i="4"/>
  <c r="E145" i="4"/>
  <c r="K149" i="4"/>
  <c r="K151" i="4"/>
  <c r="E150" i="4"/>
  <c r="E146" i="4"/>
  <c r="E142" i="4"/>
  <c r="E138" i="4"/>
  <c r="K150" i="4"/>
  <c r="F151" i="4"/>
  <c r="G151" i="4"/>
  <c r="L151" i="4"/>
  <c r="M151" i="4"/>
  <c r="N151" i="4"/>
  <c r="K153" i="4"/>
  <c r="K154" i="4"/>
  <c r="K146" i="4"/>
  <c r="K142" i="4"/>
  <c r="K138" i="4"/>
  <c r="L155" i="4"/>
  <c r="M155" i="4"/>
  <c r="N155" i="4"/>
  <c r="F165" i="4"/>
  <c r="F161" i="4"/>
  <c r="F157" i="4"/>
  <c r="G165" i="4"/>
  <c r="G161" i="4"/>
  <c r="G157" i="4"/>
  <c r="L165" i="4"/>
  <c r="L161" i="4"/>
  <c r="M165" i="4"/>
  <c r="M161" i="4"/>
  <c r="N165" i="4"/>
  <c r="N161" i="4"/>
  <c r="N157" i="4"/>
  <c r="F166" i="4"/>
  <c r="F162" i="4"/>
  <c r="F158" i="4"/>
  <c r="G166" i="4"/>
  <c r="G162" i="4"/>
  <c r="G158" i="4"/>
  <c r="L166" i="4"/>
  <c r="M166" i="4"/>
  <c r="M167" i="4"/>
  <c r="N166" i="4"/>
  <c r="E169" i="4"/>
  <c r="E165" i="4"/>
  <c r="E161" i="4"/>
  <c r="K169" i="4"/>
  <c r="E170" i="4"/>
  <c r="E166" i="4"/>
  <c r="K170" i="4"/>
  <c r="K166" i="4"/>
  <c r="K162" i="4"/>
  <c r="K158" i="4"/>
  <c r="F171" i="4"/>
  <c r="G171" i="4"/>
  <c r="L171" i="4"/>
  <c r="M171" i="4"/>
  <c r="N171" i="4"/>
  <c r="F181" i="4"/>
  <c r="F177" i="4"/>
  <c r="F173" i="4"/>
  <c r="F175" i="4"/>
  <c r="G181" i="4"/>
  <c r="L181" i="4"/>
  <c r="M181" i="4"/>
  <c r="M177" i="4"/>
  <c r="N181" i="4"/>
  <c r="F182" i="4"/>
  <c r="F178" i="4"/>
  <c r="F174" i="4"/>
  <c r="G182" i="4"/>
  <c r="L182" i="4"/>
  <c r="L178" i="4"/>
  <c r="L174" i="4"/>
  <c r="M182" i="4"/>
  <c r="N182" i="4"/>
  <c r="N178" i="4"/>
  <c r="N174" i="4"/>
  <c r="E185" i="4"/>
  <c r="E181" i="4"/>
  <c r="E177" i="4"/>
  <c r="E173" i="4"/>
  <c r="K185" i="4"/>
  <c r="K187" i="4"/>
  <c r="E186" i="4"/>
  <c r="E182" i="4"/>
  <c r="K186" i="4"/>
  <c r="F187" i="4"/>
  <c r="G187" i="4"/>
  <c r="L187" i="4"/>
  <c r="M187" i="4"/>
  <c r="N187" i="4"/>
  <c r="F193" i="4"/>
  <c r="G193" i="4"/>
  <c r="L193" i="4"/>
  <c r="M193" i="4"/>
  <c r="N193" i="4"/>
  <c r="F194" i="4"/>
  <c r="G194" i="4"/>
  <c r="L194" i="4"/>
  <c r="M194" i="4"/>
  <c r="N194" i="4"/>
  <c r="E201" i="4"/>
  <c r="K201" i="4"/>
  <c r="E202" i="4"/>
  <c r="K202" i="4"/>
  <c r="K194" i="4"/>
  <c r="F203" i="4"/>
  <c r="G203" i="4"/>
  <c r="L203" i="4"/>
  <c r="M203" i="4"/>
  <c r="N203" i="4"/>
  <c r="F209" i="4"/>
  <c r="F205" i="4"/>
  <c r="G209" i="4"/>
  <c r="L209" i="4"/>
  <c r="L205" i="4"/>
  <c r="M209" i="4"/>
  <c r="M211" i="4"/>
  <c r="N209" i="4"/>
  <c r="F210" i="4"/>
  <c r="G210" i="4"/>
  <c r="G211" i="4"/>
  <c r="L210" i="4"/>
  <c r="M210" i="4"/>
  <c r="N210" i="4"/>
  <c r="N206" i="4"/>
  <c r="E213" i="4"/>
  <c r="K213" i="4"/>
  <c r="E214" i="4"/>
  <c r="K214" i="4"/>
  <c r="K215" i="4"/>
  <c r="K210" i="4"/>
  <c r="F215" i="4"/>
  <c r="G215" i="4"/>
  <c r="L215" i="4"/>
  <c r="M215" i="4"/>
  <c r="N215" i="4"/>
  <c r="E217" i="4"/>
  <c r="K217" i="4"/>
  <c r="K219" i="4"/>
  <c r="E218" i="4"/>
  <c r="E210" i="4"/>
  <c r="K218" i="4"/>
  <c r="F219" i="4"/>
  <c r="G219" i="4"/>
  <c r="L219" i="4"/>
  <c r="M219" i="4"/>
  <c r="N219" i="4"/>
  <c r="F221" i="4"/>
  <c r="G221" i="4"/>
  <c r="G205" i="4"/>
  <c r="L221" i="4"/>
  <c r="M221" i="4"/>
  <c r="N221" i="4"/>
  <c r="N205" i="4"/>
  <c r="F222" i="4"/>
  <c r="G222" i="4"/>
  <c r="L222" i="4"/>
  <c r="M222" i="4"/>
  <c r="N222" i="4"/>
  <c r="E225" i="4"/>
  <c r="K225" i="4"/>
  <c r="K227" i="4"/>
  <c r="E226" i="4"/>
  <c r="E222" i="4"/>
  <c r="K226" i="4"/>
  <c r="K222" i="4"/>
  <c r="F227" i="4"/>
  <c r="G227" i="4"/>
  <c r="L227" i="4"/>
  <c r="M227" i="4"/>
  <c r="N227" i="4"/>
  <c r="F233" i="4"/>
  <c r="F229" i="4"/>
  <c r="F189" i="4"/>
  <c r="G233" i="4"/>
  <c r="G229" i="4"/>
  <c r="G189" i="4"/>
  <c r="L233" i="4"/>
  <c r="L229" i="4"/>
  <c r="M233" i="4"/>
  <c r="N233" i="4"/>
  <c r="N229" i="4"/>
  <c r="F234" i="4"/>
  <c r="F230" i="4"/>
  <c r="F190" i="4"/>
  <c r="G234" i="4"/>
  <c r="G230" i="4"/>
  <c r="G190" i="4"/>
  <c r="L234" i="4"/>
  <c r="L230" i="4"/>
  <c r="L190" i="4"/>
  <c r="M234" i="4"/>
  <c r="M230" i="4"/>
  <c r="N234" i="4"/>
  <c r="N230" i="4"/>
  <c r="E237" i="4"/>
  <c r="K237" i="4"/>
  <c r="K233" i="4"/>
  <c r="K229" i="4"/>
  <c r="E238" i="4"/>
  <c r="E234" i="4"/>
  <c r="E230" i="4"/>
  <c r="K238" i="4"/>
  <c r="K234" i="4"/>
  <c r="K230" i="4"/>
  <c r="K239" i="4"/>
  <c r="F239" i="4"/>
  <c r="G239" i="4"/>
  <c r="L239" i="4"/>
  <c r="M239" i="4"/>
  <c r="N239" i="4"/>
  <c r="F245" i="4"/>
  <c r="G245" i="4"/>
  <c r="G247" i="4"/>
  <c r="G241" i="4"/>
  <c r="L245" i="4"/>
  <c r="M245" i="4"/>
  <c r="N245" i="4"/>
  <c r="F246" i="4"/>
  <c r="F242" i="4"/>
  <c r="G246" i="4"/>
  <c r="L246" i="4"/>
  <c r="L242" i="4"/>
  <c r="M246" i="4"/>
  <c r="N246" i="4"/>
  <c r="N242" i="4"/>
  <c r="N190" i="4"/>
  <c r="E249" i="4"/>
  <c r="K249" i="4"/>
  <c r="E250" i="4"/>
  <c r="E246" i="4"/>
  <c r="K250" i="4"/>
  <c r="K246" i="4"/>
  <c r="K242" i="4"/>
  <c r="F251" i="4"/>
  <c r="G251" i="4"/>
  <c r="L251" i="4"/>
  <c r="M251" i="4"/>
  <c r="N251" i="4"/>
  <c r="F261" i="4"/>
  <c r="G261" i="4"/>
  <c r="G257" i="4"/>
  <c r="G253" i="4"/>
  <c r="L261" i="4"/>
  <c r="M261" i="4"/>
  <c r="M257" i="4"/>
  <c r="M253" i="4"/>
  <c r="N261" i="4"/>
  <c r="N257" i="4"/>
  <c r="F262" i="4"/>
  <c r="F258" i="4"/>
  <c r="F254" i="4"/>
  <c r="G262" i="4"/>
  <c r="G258" i="4"/>
  <c r="G254" i="4"/>
  <c r="L262" i="4"/>
  <c r="L258" i="4"/>
  <c r="L254" i="4"/>
  <c r="M262" i="4"/>
  <c r="N262" i="4"/>
  <c r="N258" i="4"/>
  <c r="N254" i="4"/>
  <c r="E265" i="4"/>
  <c r="E261" i="4"/>
  <c r="K265" i="4"/>
  <c r="E266" i="4"/>
  <c r="E262" i="4"/>
  <c r="E258" i="4"/>
  <c r="E254" i="4"/>
  <c r="K266" i="4"/>
  <c r="F267" i="4"/>
  <c r="G267" i="4"/>
  <c r="L267" i="4"/>
  <c r="M267" i="4"/>
  <c r="N267" i="4"/>
  <c r="K269" i="4"/>
  <c r="K270" i="4"/>
  <c r="K271" i="4"/>
  <c r="L271" i="4"/>
  <c r="M271" i="4"/>
  <c r="N271" i="4"/>
  <c r="F281" i="4"/>
  <c r="G281" i="4"/>
  <c r="L281" i="4"/>
  <c r="M281" i="4"/>
  <c r="N281" i="4"/>
  <c r="F282" i="4"/>
  <c r="G282" i="4"/>
  <c r="L282" i="4"/>
  <c r="L278" i="4"/>
  <c r="L274" i="4"/>
  <c r="M282" i="4"/>
  <c r="N282" i="4"/>
  <c r="E285" i="4"/>
  <c r="E281" i="4"/>
  <c r="K285" i="4"/>
  <c r="E286" i="4"/>
  <c r="E282" i="4"/>
  <c r="K286" i="4"/>
  <c r="K282" i="4"/>
  <c r="K278" i="4"/>
  <c r="K274" i="4"/>
  <c r="F287" i="4"/>
  <c r="G287" i="4"/>
  <c r="L287" i="4"/>
  <c r="M287" i="4"/>
  <c r="N287" i="4"/>
  <c r="F289" i="4"/>
  <c r="G289" i="4"/>
  <c r="L289" i="4"/>
  <c r="M289" i="4"/>
  <c r="M277" i="4"/>
  <c r="M273" i="4"/>
  <c r="N289" i="4"/>
  <c r="N277" i="4"/>
  <c r="N273" i="4"/>
  <c r="F290" i="4"/>
  <c r="G290" i="4"/>
  <c r="G291" i="4"/>
  <c r="L290" i="4"/>
  <c r="M290" i="4"/>
  <c r="N290" i="4"/>
  <c r="E293" i="4"/>
  <c r="E289" i="4"/>
  <c r="K293" i="4"/>
  <c r="E294" i="4"/>
  <c r="E290" i="4"/>
  <c r="K294" i="4"/>
  <c r="K295" i="4"/>
  <c r="K290" i="4"/>
  <c r="F295" i="4"/>
  <c r="G295" i="4"/>
  <c r="L295" i="4"/>
  <c r="M295" i="4"/>
  <c r="N295" i="4"/>
  <c r="K297" i="4"/>
  <c r="K298" i="4"/>
  <c r="L299" i="4"/>
  <c r="M299" i="4"/>
  <c r="N299" i="4"/>
  <c r="F306" i="4"/>
  <c r="F309" i="4"/>
  <c r="F305" i="4"/>
  <c r="G309" i="4"/>
  <c r="L309" i="4"/>
  <c r="L305" i="4"/>
  <c r="M309" i="4"/>
  <c r="M305" i="4"/>
  <c r="N309" i="4"/>
  <c r="F310" i="4"/>
  <c r="G310" i="4"/>
  <c r="G306" i="4"/>
  <c r="L310" i="4"/>
  <c r="L306" i="4"/>
  <c r="M310" i="4"/>
  <c r="N310" i="4"/>
  <c r="N306" i="4"/>
  <c r="E313" i="4"/>
  <c r="E309" i="4"/>
  <c r="K313" i="4"/>
  <c r="E314" i="4"/>
  <c r="K314" i="4"/>
  <c r="F315" i="4"/>
  <c r="G315" i="4"/>
  <c r="L315" i="4"/>
  <c r="M315" i="4"/>
  <c r="N315" i="4"/>
  <c r="F321" i="4"/>
  <c r="F317" i="4"/>
  <c r="G321" i="4"/>
  <c r="G317" i="4"/>
  <c r="L321" i="4"/>
  <c r="M321" i="4"/>
  <c r="N321" i="4"/>
  <c r="N317" i="4"/>
  <c r="F322" i="4"/>
  <c r="F318" i="4"/>
  <c r="G322" i="4"/>
  <c r="G318" i="4"/>
  <c r="L322" i="4"/>
  <c r="L318" i="4"/>
  <c r="M322" i="4"/>
  <c r="M318" i="4"/>
  <c r="N322" i="4"/>
  <c r="E325" i="4"/>
  <c r="E321" i="4"/>
  <c r="K325" i="4"/>
  <c r="E326" i="4"/>
  <c r="E322" i="4"/>
  <c r="E318" i="4"/>
  <c r="K326" i="4"/>
  <c r="K322" i="4"/>
  <c r="K318" i="4"/>
  <c r="F327" i="4"/>
  <c r="G327" i="4"/>
  <c r="L327" i="4"/>
  <c r="M327" i="4"/>
  <c r="N327" i="4"/>
  <c r="F333" i="4"/>
  <c r="F329" i="4"/>
  <c r="G333" i="4"/>
  <c r="G329" i="4"/>
  <c r="G331" i="4"/>
  <c r="L333" i="4"/>
  <c r="L329" i="4"/>
  <c r="M333" i="4"/>
  <c r="N333" i="4"/>
  <c r="N329" i="4"/>
  <c r="F334" i="4"/>
  <c r="F330" i="4"/>
  <c r="G334" i="4"/>
  <c r="G330" i="4"/>
  <c r="L334" i="4"/>
  <c r="L330" i="4"/>
  <c r="M334" i="4"/>
  <c r="M330" i="4"/>
  <c r="N334" i="4"/>
  <c r="N330" i="4"/>
  <c r="E337" i="4"/>
  <c r="E333" i="4"/>
  <c r="E329" i="4"/>
  <c r="K337" i="4"/>
  <c r="E338" i="4"/>
  <c r="E334" i="4"/>
  <c r="E330" i="4"/>
  <c r="K338" i="4"/>
  <c r="F339" i="4"/>
  <c r="G339" i="4"/>
  <c r="L339" i="4"/>
  <c r="M339" i="4"/>
  <c r="N339" i="4"/>
  <c r="L345" i="4"/>
  <c r="L341" i="4"/>
  <c r="M345" i="4"/>
  <c r="N345" i="4"/>
  <c r="L346" i="4"/>
  <c r="M346" i="4"/>
  <c r="N346" i="4"/>
  <c r="L349" i="4"/>
  <c r="M349" i="4"/>
  <c r="M351" i="4"/>
  <c r="N349" i="4"/>
  <c r="L350" i="4"/>
  <c r="M350" i="4"/>
  <c r="N350" i="4"/>
  <c r="L353" i="4"/>
  <c r="M353" i="4"/>
  <c r="N353" i="4"/>
  <c r="L354" i="4"/>
  <c r="M354" i="4"/>
  <c r="N354" i="4"/>
  <c r="L357" i="4"/>
  <c r="L359" i="4"/>
  <c r="M357" i="4"/>
  <c r="N357" i="4"/>
  <c r="K358" i="4"/>
  <c r="L358" i="4"/>
  <c r="M358" i="4"/>
  <c r="N358" i="4"/>
  <c r="M329" i="4"/>
  <c r="E187" i="4"/>
  <c r="I268" i="3"/>
  <c r="I367" i="3"/>
  <c r="G262" i="3"/>
  <c r="G394" i="3"/>
  <c r="E403" i="1"/>
  <c r="D401" i="1"/>
  <c r="D403" i="1"/>
  <c r="F238" i="1"/>
  <c r="E237" i="1"/>
  <c r="E238" i="1"/>
  <c r="D237" i="1"/>
  <c r="M317" i="4"/>
  <c r="M323" i="4"/>
  <c r="F241" i="4"/>
  <c r="F126" i="4"/>
  <c r="F110" i="4"/>
  <c r="I413" i="3"/>
  <c r="D388" i="1"/>
  <c r="E341" i="1"/>
  <c r="D341" i="1"/>
  <c r="D179" i="1"/>
  <c r="H262" i="3"/>
  <c r="L335" i="4"/>
  <c r="G277" i="4"/>
  <c r="G273" i="4"/>
  <c r="M241" i="4"/>
  <c r="I247" i="3"/>
  <c r="D383" i="1"/>
  <c r="F328" i="1"/>
  <c r="G242" i="4"/>
  <c r="I362" i="3"/>
  <c r="I364" i="3"/>
  <c r="I355" i="3"/>
  <c r="J322" i="3"/>
  <c r="E420" i="1"/>
  <c r="E421" i="1"/>
  <c r="E418" i="1"/>
  <c r="F417" i="1"/>
  <c r="F421" i="1"/>
  <c r="F418" i="1"/>
  <c r="E413" i="1"/>
  <c r="F410" i="1"/>
  <c r="D384" i="1"/>
  <c r="D385" i="1"/>
  <c r="I216" i="3"/>
  <c r="I105" i="3"/>
  <c r="G39" i="3"/>
  <c r="G26" i="3"/>
  <c r="G27" i="3"/>
  <c r="M280" i="1"/>
  <c r="M275" i="1"/>
  <c r="M166" i="1"/>
  <c r="K235" i="4"/>
  <c r="F195" i="4"/>
  <c r="F167" i="4"/>
  <c r="F93" i="4"/>
  <c r="F89" i="4"/>
  <c r="G334" i="3"/>
  <c r="I313" i="3"/>
  <c r="I204" i="3"/>
  <c r="I174" i="3"/>
  <c r="M415" i="1"/>
  <c r="M412" i="1"/>
  <c r="D398" i="1"/>
  <c r="D392" i="1"/>
  <c r="E394" i="1"/>
  <c r="D350" i="1"/>
  <c r="E352" i="1"/>
  <c r="E296" i="1"/>
  <c r="F293" i="1"/>
  <c r="E242" i="1"/>
  <c r="F244" i="1"/>
  <c r="D236" i="1"/>
  <c r="D238" i="1"/>
  <c r="I189" i="3"/>
  <c r="I159" i="3"/>
  <c r="I129" i="3"/>
  <c r="F310" i="1"/>
  <c r="E308" i="1"/>
  <c r="M268" i="1"/>
  <c r="E260" i="1"/>
  <c r="F262" i="1"/>
  <c r="E192" i="1"/>
  <c r="E189" i="1"/>
  <c r="F193" i="1"/>
  <c r="D183" i="1"/>
  <c r="D184" i="1"/>
  <c r="E150" i="1"/>
  <c r="F151" i="1"/>
  <c r="G141" i="4"/>
  <c r="G137" i="4"/>
  <c r="I352" i="3"/>
  <c r="I235" i="3"/>
  <c r="I222" i="3"/>
  <c r="I168" i="3"/>
  <c r="I135" i="3"/>
  <c r="I111" i="3"/>
  <c r="I76" i="3"/>
  <c r="I72" i="3"/>
  <c r="I66" i="3"/>
  <c r="I26" i="3"/>
  <c r="I19" i="3"/>
  <c r="D419" i="1"/>
  <c r="D416" i="1"/>
  <c r="E416" i="1"/>
  <c r="F411" i="1"/>
  <c r="D407" i="1"/>
  <c r="M400" i="1"/>
  <c r="F394" i="1"/>
  <c r="E390" i="1"/>
  <c r="D390" i="1"/>
  <c r="D391" i="1"/>
  <c r="F391" i="1"/>
  <c r="E374" i="1"/>
  <c r="F352" i="1"/>
  <c r="E336" i="1"/>
  <c r="D336" i="1"/>
  <c r="F337" i="1"/>
  <c r="E292" i="1"/>
  <c r="D290" i="1"/>
  <c r="E212" i="1"/>
  <c r="F214" i="1"/>
  <c r="F154" i="1"/>
  <c r="E152" i="1"/>
  <c r="F138" i="1"/>
  <c r="F145" i="1"/>
  <c r="D389" i="1"/>
  <c r="F378" i="1"/>
  <c r="D371" i="1"/>
  <c r="E370" i="1"/>
  <c r="E342" i="1"/>
  <c r="M334" i="1"/>
  <c r="D323" i="1"/>
  <c r="E322" i="1"/>
  <c r="M311" i="1"/>
  <c r="M298" i="1"/>
  <c r="M292" i="1"/>
  <c r="F274" i="1"/>
  <c r="H262" i="1"/>
  <c r="M250" i="1"/>
  <c r="F235" i="1"/>
  <c r="M208" i="1"/>
  <c r="M188" i="1"/>
  <c r="I190" i="1"/>
  <c r="M180" i="1"/>
  <c r="F181" i="1"/>
  <c r="N175" i="1"/>
  <c r="M131" i="1"/>
  <c r="M136" i="1"/>
  <c r="F103" i="1"/>
  <c r="E86" i="1"/>
  <c r="D86" i="1"/>
  <c r="F88" i="1"/>
  <c r="K294" i="1"/>
  <c r="E278" i="1"/>
  <c r="M173" i="1"/>
  <c r="M175" i="1"/>
  <c r="M178" i="1"/>
  <c r="D164" i="1"/>
  <c r="E156" i="1"/>
  <c r="D156" i="1"/>
  <c r="E105" i="1"/>
  <c r="D105" i="1"/>
  <c r="F106" i="1"/>
  <c r="F51" i="1"/>
  <c r="D35" i="1"/>
  <c r="M388" i="1"/>
  <c r="M373" i="1"/>
  <c r="M370" i="1"/>
  <c r="D332" i="1"/>
  <c r="M325" i="1"/>
  <c r="M322" i="1"/>
  <c r="K307" i="1"/>
  <c r="E297" i="1"/>
  <c r="M293" i="1"/>
  <c r="E257" i="1"/>
  <c r="E224" i="1"/>
  <c r="M220" i="1"/>
  <c r="D218" i="1"/>
  <c r="D209" i="1"/>
  <c r="E197" i="1"/>
  <c r="M194" i="1"/>
  <c r="I196" i="1"/>
  <c r="E186" i="1"/>
  <c r="D186" i="1"/>
  <c r="D180" i="1"/>
  <c r="D181" i="1"/>
  <c r="F180" i="1"/>
  <c r="F187" i="1"/>
  <c r="E173" i="1"/>
  <c r="E178" i="1"/>
  <c r="D176" i="1"/>
  <c r="E158" i="1"/>
  <c r="F107" i="1"/>
  <c r="E110" i="1"/>
  <c r="F112" i="1"/>
  <c r="K109" i="1"/>
  <c r="D83" i="1"/>
  <c r="E85" i="1"/>
  <c r="E36" i="1"/>
  <c r="D36" i="1"/>
  <c r="D37" i="1"/>
  <c r="F34" i="1"/>
  <c r="E357" i="1"/>
  <c r="E356" i="1"/>
  <c r="E289" i="1"/>
  <c r="E279" i="1"/>
  <c r="M259" i="1"/>
  <c r="M232" i="1"/>
  <c r="D221" i="1"/>
  <c r="M211" i="1"/>
  <c r="E198" i="1"/>
  <c r="E187" i="1"/>
  <c r="D185" i="1"/>
  <c r="E179" i="1"/>
  <c r="E184" i="1"/>
  <c r="J175" i="1"/>
  <c r="D149" i="1"/>
  <c r="D151" i="1"/>
  <c r="N133" i="1"/>
  <c r="E125" i="1"/>
  <c r="E127" i="1"/>
  <c r="F127" i="1"/>
  <c r="D116" i="1"/>
  <c r="E71" i="1"/>
  <c r="E73" i="1"/>
  <c r="N19" i="1"/>
  <c r="M289" i="1"/>
  <c r="D272" i="1"/>
  <c r="E268" i="1"/>
  <c r="D251" i="1"/>
  <c r="D230" i="1"/>
  <c r="M223" i="1"/>
  <c r="D191" i="1"/>
  <c r="D188" i="1"/>
  <c r="M187" i="1"/>
  <c r="M179" i="1"/>
  <c r="M184" i="1"/>
  <c r="N181" i="1"/>
  <c r="M167" i="1"/>
  <c r="M169" i="1"/>
  <c r="M157" i="1"/>
  <c r="M137" i="1"/>
  <c r="M139" i="1"/>
  <c r="F97" i="1"/>
  <c r="E27" i="1"/>
  <c r="D27" i="1"/>
  <c r="F18" i="1"/>
  <c r="E134" i="1"/>
  <c r="M114" i="1"/>
  <c r="E111" i="1"/>
  <c r="E112" i="1"/>
  <c r="O109" i="1"/>
  <c r="P109" i="1"/>
  <c r="L109" i="1"/>
  <c r="H109" i="1"/>
  <c r="D95" i="1"/>
  <c r="E80" i="1"/>
  <c r="E56" i="1"/>
  <c r="F58" i="1"/>
  <c r="E28" i="1"/>
  <c r="E20" i="1"/>
  <c r="F22" i="1"/>
  <c r="M109" i="1"/>
  <c r="D101" i="1"/>
  <c r="M97" i="1"/>
  <c r="M82" i="1"/>
  <c r="M79" i="1"/>
  <c r="M64" i="1"/>
  <c r="I64" i="1"/>
  <c r="M22" i="1"/>
  <c r="L19" i="1"/>
  <c r="D65" i="1"/>
  <c r="M50" i="1"/>
  <c r="M58" i="1"/>
  <c r="D41" i="1"/>
  <c r="D43" i="1"/>
  <c r="G19" i="1"/>
  <c r="E131" i="1"/>
  <c r="D134" i="1"/>
  <c r="D242" i="1"/>
  <c r="E244" i="1"/>
  <c r="D80" i="1"/>
  <c r="E417" i="1"/>
  <c r="D20" i="1"/>
  <c r="D187" i="1"/>
  <c r="D279" i="1"/>
  <c r="D173" i="1"/>
  <c r="D224" i="1"/>
  <c r="E37" i="1"/>
  <c r="E280" i="1"/>
  <c r="D278" i="1"/>
  <c r="D342" i="1"/>
  <c r="D152" i="1"/>
  <c r="D260" i="1"/>
  <c r="D262" i="1"/>
  <c r="D110" i="1"/>
  <c r="E107" i="1"/>
  <c r="D257" i="1"/>
  <c r="D212" i="1"/>
  <c r="D150" i="1"/>
  <c r="D308" i="1"/>
  <c r="D296" i="1"/>
  <c r="D56" i="1"/>
  <c r="D197" i="1"/>
  <c r="D297" i="1"/>
  <c r="D374" i="1"/>
  <c r="E343" i="1"/>
  <c r="D62" i="1"/>
  <c r="M181" i="1"/>
  <c r="E151" i="1"/>
  <c r="E358" i="1"/>
  <c r="D356" i="1"/>
  <c r="E180" i="1"/>
  <c r="E181" i="1"/>
  <c r="D413" i="1"/>
  <c r="E410" i="1"/>
  <c r="D410" i="1"/>
  <c r="D131" i="1"/>
  <c r="D107" i="1"/>
  <c r="D280" i="1"/>
  <c r="G52" i="7"/>
  <c r="E36" i="7"/>
  <c r="F20" i="7"/>
  <c r="F32" i="7"/>
  <c r="F26" i="7"/>
  <c r="F10" i="7"/>
  <c r="F16" i="7"/>
  <c r="E30" i="7"/>
  <c r="E26" i="7"/>
  <c r="E20" i="7"/>
  <c r="E14" i="7"/>
  <c r="E16" i="7"/>
  <c r="G28" i="7"/>
  <c r="E44" i="7"/>
  <c r="E38" i="7"/>
  <c r="E40" i="7"/>
  <c r="F40" i="7"/>
  <c r="G11" i="7"/>
  <c r="E11" i="7"/>
  <c r="E50" i="7"/>
  <c r="E52" i="7"/>
  <c r="E56" i="7"/>
  <c r="G40" i="7"/>
  <c r="G10" i="7"/>
  <c r="G16" i="7"/>
  <c r="F11" i="7"/>
  <c r="E28" i="7"/>
  <c r="G56" i="7"/>
  <c r="E48" i="7"/>
  <c r="F44" i="7"/>
  <c r="F28" i="7"/>
  <c r="E60" i="7"/>
  <c r="K334" i="4"/>
  <c r="K330" i="4"/>
  <c r="F323" i="4"/>
  <c r="M223" i="4"/>
  <c r="E339" i="4"/>
  <c r="E245" i="4"/>
  <c r="N235" i="4"/>
  <c r="E310" i="4"/>
  <c r="E306" i="4"/>
  <c r="E287" i="4"/>
  <c r="K221" i="4"/>
  <c r="G223" i="4"/>
  <c r="K47" i="4"/>
  <c r="K55" i="4"/>
  <c r="E31" i="4"/>
  <c r="L61" i="4"/>
  <c r="N22" i="4"/>
  <c r="N18" i="4"/>
  <c r="F183" i="4"/>
  <c r="L162" i="4"/>
  <c r="L158" i="4"/>
  <c r="L167" i="4"/>
  <c r="E151" i="4"/>
  <c r="F38" i="4"/>
  <c r="F34" i="4"/>
  <c r="G178" i="4"/>
  <c r="G174" i="4"/>
  <c r="L73" i="4"/>
  <c r="L79" i="4"/>
  <c r="I78" i="3"/>
  <c r="J144" i="3"/>
  <c r="J78" i="3"/>
  <c r="I192" i="3"/>
  <c r="E32" i="7"/>
  <c r="E10" i="7"/>
  <c r="E12" i="7"/>
  <c r="G12" i="7"/>
  <c r="F12" i="7"/>
  <c r="E241" i="4"/>
  <c r="M147" i="4"/>
  <c r="E119" i="4"/>
  <c r="K50" i="4"/>
  <c r="K51" i="4"/>
  <c r="G109" i="4"/>
  <c r="G79" i="4"/>
  <c r="K155" i="4"/>
  <c r="L177" i="4"/>
  <c r="E27" i="4"/>
  <c r="E22" i="4"/>
  <c r="E23" i="4"/>
  <c r="K129" i="4"/>
  <c r="K135" i="4"/>
  <c r="M61" i="4"/>
  <c r="F73" i="4"/>
  <c r="E115" i="4"/>
  <c r="F95" i="4"/>
  <c r="K171" i="4"/>
  <c r="K165" i="4"/>
  <c r="K167" i="4"/>
  <c r="M131" i="4"/>
  <c r="M126" i="4"/>
  <c r="K119" i="4"/>
  <c r="L22" i="4"/>
  <c r="L18" i="4"/>
  <c r="K87" i="4"/>
  <c r="E77" i="4"/>
  <c r="K182" i="4"/>
  <c r="K178" i="4"/>
  <c r="K174" i="4"/>
  <c r="N162" i="4"/>
  <c r="F131" i="4"/>
  <c r="N93" i="4"/>
  <c r="M178" i="4"/>
  <c r="M174" i="4"/>
  <c r="N73" i="4"/>
  <c r="N75" i="4"/>
  <c r="F61" i="4"/>
  <c r="E47" i="4"/>
  <c r="E41" i="4"/>
  <c r="E43" i="4"/>
  <c r="M37" i="4"/>
  <c r="M33" i="4"/>
  <c r="M17" i="4"/>
  <c r="K66" i="4"/>
  <c r="K62" i="4"/>
  <c r="F51" i="4"/>
  <c r="K31" i="4"/>
  <c r="I382" i="3"/>
  <c r="H394" i="3"/>
  <c r="H395" i="3"/>
  <c r="H393" i="3"/>
  <c r="K394" i="3"/>
  <c r="G393" i="3"/>
  <c r="I349" i="3"/>
  <c r="I340" i="3"/>
  <c r="I393" i="3"/>
  <c r="J394" i="3"/>
  <c r="J395" i="3"/>
  <c r="G395" i="3"/>
  <c r="I343" i="3"/>
  <c r="I327" i="3"/>
  <c r="I394" i="3"/>
  <c r="I271" i="3"/>
  <c r="G322" i="3"/>
  <c r="I320" i="3"/>
  <c r="I322" i="3"/>
  <c r="K393" i="3"/>
  <c r="K395" i="3"/>
  <c r="I262" i="3"/>
  <c r="K262" i="3"/>
  <c r="G165" i="3"/>
  <c r="I252" i="3"/>
  <c r="I236" i="3"/>
  <c r="I237" i="3"/>
  <c r="I164" i="3"/>
  <c r="I163" i="3"/>
  <c r="J150" i="3"/>
  <c r="I149" i="3"/>
  <c r="I150" i="3"/>
  <c r="I141" i="3"/>
  <c r="I143" i="3"/>
  <c r="I144" i="3"/>
  <c r="I89" i="3"/>
  <c r="G254" i="3"/>
  <c r="J90" i="3"/>
  <c r="I88" i="3"/>
  <c r="I90" i="3"/>
  <c r="I102" i="3"/>
  <c r="G255" i="3"/>
  <c r="I108" i="3"/>
  <c r="G84" i="3"/>
  <c r="I87" i="3"/>
  <c r="J255" i="3"/>
  <c r="J14" i="3"/>
  <c r="J416" i="3"/>
  <c r="J27" i="3"/>
  <c r="K255" i="3"/>
  <c r="K14" i="3"/>
  <c r="K416" i="3"/>
  <c r="K27" i="3"/>
  <c r="I25" i="3"/>
  <c r="J254" i="3"/>
  <c r="J13" i="3"/>
  <c r="J415" i="3"/>
  <c r="K254" i="3"/>
  <c r="K256" i="3"/>
  <c r="I21" i="3"/>
  <c r="K21" i="3"/>
  <c r="K125" i="4"/>
  <c r="K127" i="4"/>
  <c r="M127" i="4"/>
  <c r="M106" i="4"/>
  <c r="F57" i="4"/>
  <c r="E73" i="4"/>
  <c r="K67" i="4"/>
  <c r="K161" i="4"/>
  <c r="K157" i="4"/>
  <c r="K159" i="4"/>
  <c r="L173" i="4"/>
  <c r="I328" i="3"/>
  <c r="I395" i="3"/>
  <c r="I165" i="3"/>
  <c r="G256" i="3"/>
  <c r="I255" i="3"/>
  <c r="I14" i="3"/>
  <c r="I416" i="3"/>
  <c r="J417" i="3"/>
  <c r="J256" i="3"/>
  <c r="J15" i="3"/>
  <c r="K13" i="3"/>
  <c r="K415" i="3"/>
  <c r="K417" i="3"/>
  <c r="I27" i="3"/>
  <c r="I254" i="3"/>
  <c r="K15" i="3"/>
  <c r="I13" i="3"/>
  <c r="I256" i="3"/>
  <c r="I415" i="3"/>
  <c r="I417" i="3"/>
  <c r="I15" i="3"/>
  <c r="G404" i="2"/>
  <c r="G374" i="2"/>
  <c r="D420" i="1"/>
  <c r="M417" i="1"/>
  <c r="E411" i="1"/>
  <c r="D414" i="1"/>
  <c r="D411" i="1"/>
  <c r="E415" i="1"/>
  <c r="E412" i="1"/>
  <c r="D415" i="1"/>
  <c r="D412" i="1"/>
  <c r="O379" i="1"/>
  <c r="E408" i="1"/>
  <c r="J379" i="1"/>
  <c r="E400" i="1"/>
  <c r="E391" i="1"/>
  <c r="M378" i="1"/>
  <c r="M379" i="1"/>
  <c r="D381" i="1"/>
  <c r="E382" i="1"/>
  <c r="E377" i="1"/>
  <c r="D380" i="1"/>
  <c r="M382" i="1"/>
  <c r="F377" i="1"/>
  <c r="F379" i="1"/>
  <c r="E376" i="1"/>
  <c r="H349" i="1"/>
  <c r="F372" i="1"/>
  <c r="E372" i="1"/>
  <c r="H373" i="1"/>
  <c r="D372" i="1"/>
  <c r="D373" i="1"/>
  <c r="E373" i="1"/>
  <c r="F373" i="1"/>
  <c r="F348" i="1"/>
  <c r="D365" i="1"/>
  <c r="D367" i="1"/>
  <c r="E367" i="1"/>
  <c r="E364" i="1"/>
  <c r="D362" i="1"/>
  <c r="D364" i="1"/>
  <c r="F349" i="1"/>
  <c r="M348" i="1"/>
  <c r="D359" i="1"/>
  <c r="D361" i="1"/>
  <c r="E347" i="1"/>
  <c r="F364" i="1"/>
  <c r="E348" i="1"/>
  <c r="N349" i="1"/>
  <c r="P349" i="1"/>
  <c r="K349" i="1"/>
  <c r="M347" i="1"/>
  <c r="O349" i="1"/>
  <c r="D357" i="1"/>
  <c r="D358" i="1"/>
  <c r="M358" i="1"/>
  <c r="M349" i="1"/>
  <c r="D354" i="1"/>
  <c r="D353" i="1"/>
  <c r="D348" i="1"/>
  <c r="D352" i="1"/>
  <c r="F346" i="1"/>
  <c r="E345" i="1"/>
  <c r="E339" i="1"/>
  <c r="D338" i="1"/>
  <c r="D343" i="1"/>
  <c r="M339" i="1"/>
  <c r="M340" i="1"/>
  <c r="E338" i="1"/>
  <c r="F338" i="1"/>
  <c r="F340" i="1"/>
  <c r="D335" i="1"/>
  <c r="D337" i="1"/>
  <c r="E337" i="1"/>
  <c r="M313" i="1"/>
  <c r="K313" i="1"/>
  <c r="O313" i="1"/>
  <c r="D329" i="1"/>
  <c r="D331" i="1"/>
  <c r="E331" i="1"/>
  <c r="E328" i="1"/>
  <c r="E311" i="1"/>
  <c r="D326" i="1"/>
  <c r="F311" i="1"/>
  <c r="J313" i="1"/>
  <c r="G313" i="1"/>
  <c r="D324" i="1"/>
  <c r="D325" i="1"/>
  <c r="E325" i="1"/>
  <c r="F325" i="1"/>
  <c r="F318" i="1"/>
  <c r="G319" i="1"/>
  <c r="F312" i="1"/>
  <c r="F313" i="1"/>
  <c r="E315" i="1"/>
  <c r="L295" i="1"/>
  <c r="P295" i="1"/>
  <c r="E306" i="1"/>
  <c r="D306" i="1"/>
  <c r="D307" i="1"/>
  <c r="M294" i="1"/>
  <c r="M295" i="1"/>
  <c r="O295" i="1"/>
  <c r="K295" i="1"/>
  <c r="D303" i="1"/>
  <c r="D304" i="1"/>
  <c r="E304" i="1"/>
  <c r="F304" i="1"/>
  <c r="F294" i="1"/>
  <c r="F295" i="1"/>
  <c r="D299" i="1"/>
  <c r="E293" i="1"/>
  <c r="F301" i="1"/>
  <c r="E300" i="1"/>
  <c r="D300" i="1"/>
  <c r="D298" i="1"/>
  <c r="E298" i="1"/>
  <c r="M276" i="1"/>
  <c r="M277" i="1"/>
  <c r="F275" i="1"/>
  <c r="F276" i="1"/>
  <c r="E284" i="1"/>
  <c r="K277" i="1"/>
  <c r="E283" i="1"/>
  <c r="E276" i="1"/>
  <c r="D282" i="1"/>
  <c r="E240" i="1"/>
  <c r="D273" i="1"/>
  <c r="D240" i="1"/>
  <c r="D241" i="1"/>
  <c r="E274" i="1"/>
  <c r="K274" i="1"/>
  <c r="P241" i="1"/>
  <c r="D274" i="1"/>
  <c r="M274" i="1"/>
  <c r="D271" i="1"/>
  <c r="E271" i="1"/>
  <c r="O241" i="1"/>
  <c r="H241" i="1"/>
  <c r="D264" i="1"/>
  <c r="D265" i="1"/>
  <c r="E265" i="1"/>
  <c r="F265" i="1"/>
  <c r="E259" i="1"/>
  <c r="D258" i="1"/>
  <c r="D259" i="1"/>
  <c r="F259" i="1"/>
  <c r="D248" i="1"/>
  <c r="D250" i="1"/>
  <c r="E250" i="1"/>
  <c r="E252" i="1"/>
  <c r="E254" i="1"/>
  <c r="F250" i="1"/>
  <c r="N241" i="1"/>
  <c r="M244" i="1"/>
  <c r="D243" i="1"/>
  <c r="M241" i="1"/>
  <c r="D235" i="1"/>
  <c r="F194" i="1"/>
  <c r="E235" i="1"/>
  <c r="M195" i="1"/>
  <c r="M196" i="1"/>
  <c r="J196" i="1"/>
  <c r="K196" i="1"/>
  <c r="H196" i="1"/>
  <c r="E226" i="1"/>
  <c r="D225" i="1"/>
  <c r="D226" i="1"/>
  <c r="F226" i="1"/>
  <c r="H223" i="1"/>
  <c r="D222" i="1"/>
  <c r="D223" i="1"/>
  <c r="E223" i="1"/>
  <c r="F223" i="1"/>
  <c r="D219" i="1"/>
  <c r="D220" i="1"/>
  <c r="E220" i="1"/>
  <c r="F220" i="1"/>
  <c r="E217" i="1"/>
  <c r="E214" i="1"/>
  <c r="D213" i="1"/>
  <c r="D214" i="1"/>
  <c r="G196" i="1"/>
  <c r="D210" i="1"/>
  <c r="D211" i="1"/>
  <c r="F208" i="1"/>
  <c r="E206" i="1"/>
  <c r="D204" i="1"/>
  <c r="D205" i="1"/>
  <c r="E205" i="1"/>
  <c r="E202" i="1"/>
  <c r="D201" i="1"/>
  <c r="E195" i="1"/>
  <c r="D200" i="1"/>
  <c r="F195" i="1"/>
  <c r="F196" i="1"/>
  <c r="D198" i="1"/>
  <c r="F199" i="1"/>
  <c r="E199" i="1"/>
  <c r="D190" i="1"/>
  <c r="D192" i="1"/>
  <c r="D189" i="1"/>
  <c r="D193" i="1"/>
  <c r="E193" i="1"/>
  <c r="M193" i="1"/>
  <c r="D174" i="1"/>
  <c r="D175" i="1"/>
  <c r="D178" i="1"/>
  <c r="E174" i="1"/>
  <c r="E175" i="1"/>
  <c r="D171" i="1"/>
  <c r="D168" i="1"/>
  <c r="E168" i="1"/>
  <c r="E169" i="1"/>
  <c r="F168" i="1"/>
  <c r="F169" i="1"/>
  <c r="E172" i="1"/>
  <c r="D170" i="1"/>
  <c r="F172" i="1"/>
  <c r="E165" i="1"/>
  <c r="E147" i="1"/>
  <c r="E148" i="1"/>
  <c r="J147" i="1"/>
  <c r="J148" i="1"/>
  <c r="D159" i="1"/>
  <c r="E160" i="1"/>
  <c r="E163" i="1"/>
  <c r="D161" i="1"/>
  <c r="D163" i="1"/>
  <c r="E146" i="1"/>
  <c r="F146" i="1"/>
  <c r="F147" i="1"/>
  <c r="F163" i="1"/>
  <c r="D158" i="1"/>
  <c r="D155" i="1"/>
  <c r="D157" i="1"/>
  <c r="F160" i="1"/>
  <c r="H148" i="1"/>
  <c r="L148" i="1"/>
  <c r="N154" i="1"/>
  <c r="M153" i="1"/>
  <c r="N148" i="1"/>
  <c r="E154" i="1"/>
  <c r="M146" i="1"/>
  <c r="D143" i="1"/>
  <c r="E137" i="1"/>
  <c r="E145" i="1"/>
  <c r="E138" i="1"/>
  <c r="D144" i="1"/>
  <c r="D138" i="1"/>
  <c r="M145" i="1"/>
  <c r="E142" i="1"/>
  <c r="F137" i="1"/>
  <c r="F139" i="1"/>
  <c r="D135" i="1"/>
  <c r="E136" i="1"/>
  <c r="E132" i="1"/>
  <c r="E133" i="1"/>
  <c r="F136" i="1"/>
  <c r="F132" i="1"/>
  <c r="F133" i="1"/>
  <c r="D122" i="1"/>
  <c r="E113" i="1"/>
  <c r="M113" i="1"/>
  <c r="M115" i="1"/>
  <c r="D125" i="1"/>
  <c r="D127" i="1"/>
  <c r="F113" i="1"/>
  <c r="F115" i="1"/>
  <c r="E123" i="1"/>
  <c r="D123" i="1"/>
  <c r="O13" i="1"/>
  <c r="O423" i="1"/>
  <c r="G115" i="1"/>
  <c r="I14" i="1"/>
  <c r="I424" i="1"/>
  <c r="E118" i="1"/>
  <c r="D117" i="1"/>
  <c r="D111" i="1"/>
  <c r="E108" i="1"/>
  <c r="E109" i="1"/>
  <c r="E103" i="1"/>
  <c r="D102" i="1"/>
  <c r="E99" i="1"/>
  <c r="D104" i="1"/>
  <c r="D106" i="1"/>
  <c r="E98" i="1"/>
  <c r="E106" i="1"/>
  <c r="F100" i="1"/>
  <c r="F99" i="1"/>
  <c r="M98" i="1"/>
  <c r="M100" i="1"/>
  <c r="D96" i="1"/>
  <c r="D97" i="1"/>
  <c r="E97" i="1"/>
  <c r="H70" i="1"/>
  <c r="E88" i="1"/>
  <c r="D87" i="1"/>
  <c r="E94" i="1"/>
  <c r="D92" i="1"/>
  <c r="D94" i="1"/>
  <c r="D88" i="1"/>
  <c r="F94" i="1"/>
  <c r="E89" i="1"/>
  <c r="G70" i="1"/>
  <c r="I70" i="1"/>
  <c r="K13" i="1"/>
  <c r="K423" i="1"/>
  <c r="M69" i="1"/>
  <c r="D84" i="1"/>
  <c r="D85" i="1"/>
  <c r="N70" i="1"/>
  <c r="D77" i="1"/>
  <c r="D79" i="1"/>
  <c r="E79" i="1"/>
  <c r="E76" i="1"/>
  <c r="D74" i="1"/>
  <c r="D76" i="1"/>
  <c r="D72" i="1"/>
  <c r="D69" i="1"/>
  <c r="E69" i="1"/>
  <c r="F76" i="1"/>
  <c r="I13" i="1"/>
  <c r="I423" i="1"/>
  <c r="F79" i="1"/>
  <c r="D71" i="1"/>
  <c r="E82" i="1"/>
  <c r="F69" i="1"/>
  <c r="F70" i="1"/>
  <c r="N13" i="1"/>
  <c r="N423" i="1"/>
  <c r="K14" i="1"/>
  <c r="K424" i="1"/>
  <c r="M68" i="1"/>
  <c r="D67" i="1"/>
  <c r="E67" i="1"/>
  <c r="O14" i="1"/>
  <c r="O424" i="1"/>
  <c r="F61" i="1"/>
  <c r="E59" i="1"/>
  <c r="G14" i="1"/>
  <c r="G424" i="1"/>
  <c r="L13" i="1"/>
  <c r="L423" i="1"/>
  <c r="K58" i="1"/>
  <c r="E57" i="1"/>
  <c r="N14" i="1"/>
  <c r="N424" i="1"/>
  <c r="D54" i="1"/>
  <c r="M51" i="1"/>
  <c r="M52" i="1"/>
  <c r="D55" i="1"/>
  <c r="K52" i="1"/>
  <c r="E49" i="1"/>
  <c r="D47" i="1"/>
  <c r="D49" i="1"/>
  <c r="M40" i="1"/>
  <c r="P13" i="1"/>
  <c r="P423" i="1"/>
  <c r="L40" i="1"/>
  <c r="N40" i="1"/>
  <c r="I40" i="1"/>
  <c r="F46" i="1"/>
  <c r="E45" i="1"/>
  <c r="G40" i="1"/>
  <c r="F40" i="1"/>
  <c r="E38" i="1"/>
  <c r="L14" i="1"/>
  <c r="P14" i="1"/>
  <c r="P424" i="1"/>
  <c r="G13" i="1"/>
  <c r="H13" i="1"/>
  <c r="H423" i="1"/>
  <c r="J14" i="1"/>
  <c r="J424" i="1"/>
  <c r="D38" i="1"/>
  <c r="F19" i="1"/>
  <c r="E34" i="1"/>
  <c r="D32" i="1"/>
  <c r="D30" i="1"/>
  <c r="E18" i="1"/>
  <c r="M19" i="1"/>
  <c r="D22" i="1"/>
  <c r="D18" i="1"/>
  <c r="D28" i="1"/>
  <c r="E22" i="1"/>
  <c r="H14" i="1"/>
  <c r="D33" i="1"/>
  <c r="J13" i="1"/>
  <c r="E23" i="1"/>
  <c r="E29" i="1"/>
  <c r="M28" i="1"/>
  <c r="F28" i="1"/>
  <c r="D421" i="1"/>
  <c r="D418" i="1"/>
  <c r="D417" i="1"/>
  <c r="E409" i="1"/>
  <c r="D408" i="1"/>
  <c r="D409" i="1"/>
  <c r="E378" i="1"/>
  <c r="E379" i="1"/>
  <c r="D382" i="1"/>
  <c r="D377" i="1"/>
  <c r="E349" i="1"/>
  <c r="D355" i="1"/>
  <c r="D347" i="1"/>
  <c r="D349" i="1"/>
  <c r="E340" i="1"/>
  <c r="E346" i="1"/>
  <c r="D345" i="1"/>
  <c r="D328" i="1"/>
  <c r="D311" i="1"/>
  <c r="F319" i="1"/>
  <c r="E318" i="1"/>
  <c r="E316" i="1"/>
  <c r="D315" i="1"/>
  <c r="E294" i="1"/>
  <c r="E295" i="1"/>
  <c r="E307" i="1"/>
  <c r="D294" i="1"/>
  <c r="D293" i="1"/>
  <c r="D301" i="1"/>
  <c r="E301" i="1"/>
  <c r="E275" i="1"/>
  <c r="E277" i="1"/>
  <c r="D284" i="1"/>
  <c r="E286" i="1"/>
  <c r="F277" i="1"/>
  <c r="D276" i="1"/>
  <c r="D283" i="1"/>
  <c r="F241" i="1"/>
  <c r="E256" i="1"/>
  <c r="D254" i="1"/>
  <c r="E241" i="1"/>
  <c r="E253" i="1"/>
  <c r="D252" i="1"/>
  <c r="D253" i="1"/>
  <c r="D244" i="1"/>
  <c r="E208" i="1"/>
  <c r="D206" i="1"/>
  <c r="D208" i="1"/>
  <c r="E194" i="1"/>
  <c r="E196" i="1"/>
  <c r="D202" i="1"/>
  <c r="D199" i="1"/>
  <c r="D195" i="1"/>
  <c r="D167" i="1"/>
  <c r="D169" i="1"/>
  <c r="D172" i="1"/>
  <c r="E166" i="1"/>
  <c r="D165" i="1"/>
  <c r="D166" i="1"/>
  <c r="D146" i="1"/>
  <c r="D160" i="1"/>
  <c r="F148" i="1"/>
  <c r="M147" i="1"/>
  <c r="M148" i="1"/>
  <c r="M154" i="1"/>
  <c r="D153" i="1"/>
  <c r="P425" i="1"/>
  <c r="E139" i="1"/>
  <c r="O425" i="1"/>
  <c r="D137" i="1"/>
  <c r="D139" i="1"/>
  <c r="D145" i="1"/>
  <c r="D132" i="1"/>
  <c r="D133" i="1"/>
  <c r="D136" i="1"/>
  <c r="E124" i="1"/>
  <c r="E114" i="1"/>
  <c r="E115" i="1"/>
  <c r="D124" i="1"/>
  <c r="D113" i="1"/>
  <c r="N15" i="1"/>
  <c r="I15" i="1"/>
  <c r="F13" i="1"/>
  <c r="F423" i="1"/>
  <c r="I425" i="1"/>
  <c r="D118" i="1"/>
  <c r="D114" i="1"/>
  <c r="D112" i="1"/>
  <c r="D108" i="1"/>
  <c r="D109" i="1"/>
  <c r="K15" i="1"/>
  <c r="D98" i="1"/>
  <c r="D99" i="1"/>
  <c r="D103" i="1"/>
  <c r="E100" i="1"/>
  <c r="F14" i="1"/>
  <c r="F424" i="1"/>
  <c r="E91" i="1"/>
  <c r="D89" i="1"/>
  <c r="D91" i="1"/>
  <c r="E68" i="1"/>
  <c r="E70" i="1"/>
  <c r="M70" i="1"/>
  <c r="M13" i="1"/>
  <c r="M423" i="1"/>
  <c r="D73" i="1"/>
  <c r="D68" i="1"/>
  <c r="D70" i="1"/>
  <c r="K425" i="1"/>
  <c r="L15" i="1"/>
  <c r="P15" i="1"/>
  <c r="O15" i="1"/>
  <c r="E61" i="1"/>
  <c r="E50" i="1"/>
  <c r="D59" i="1"/>
  <c r="L424" i="1"/>
  <c r="L425" i="1"/>
  <c r="N425" i="1"/>
  <c r="E58" i="1"/>
  <c r="D57" i="1"/>
  <c r="D58" i="1"/>
  <c r="D51" i="1"/>
  <c r="E51" i="1"/>
  <c r="E52" i="1"/>
  <c r="M14" i="1"/>
  <c r="M424" i="1"/>
  <c r="D45" i="1"/>
  <c r="E39" i="1"/>
  <c r="E40" i="1"/>
  <c r="E46" i="1"/>
  <c r="G15" i="1"/>
  <c r="G423" i="1"/>
  <c r="G425" i="1"/>
  <c r="E31" i="1"/>
  <c r="D29" i="1"/>
  <c r="H15" i="1"/>
  <c r="H424" i="1"/>
  <c r="H425" i="1"/>
  <c r="E25" i="1"/>
  <c r="D23" i="1"/>
  <c r="D25" i="1"/>
  <c r="E17" i="1"/>
  <c r="J423" i="1"/>
  <c r="J425" i="1"/>
  <c r="J15" i="1"/>
  <c r="D34" i="1"/>
  <c r="D378" i="1"/>
  <c r="D379" i="1"/>
  <c r="D346" i="1"/>
  <c r="D339" i="1"/>
  <c r="D340" i="1"/>
  <c r="E319" i="1"/>
  <c r="D318" i="1"/>
  <c r="D319" i="1"/>
  <c r="E312" i="1"/>
  <c r="E313" i="1"/>
  <c r="D316" i="1"/>
  <c r="D312" i="1"/>
  <c r="D313" i="1"/>
  <c r="D295" i="1"/>
  <c r="D277" i="1"/>
  <c r="D286" i="1"/>
  <c r="D275" i="1"/>
  <c r="D256" i="1"/>
  <c r="D194" i="1"/>
  <c r="D196" i="1"/>
  <c r="D154" i="1"/>
  <c r="D147" i="1"/>
  <c r="D148" i="1"/>
  <c r="D115" i="1"/>
  <c r="F15" i="1"/>
  <c r="D100" i="1"/>
  <c r="F425" i="1"/>
  <c r="M15" i="1"/>
  <c r="M425" i="1"/>
  <c r="D61" i="1"/>
  <c r="D50" i="1"/>
  <c r="D52" i="1"/>
  <c r="D39" i="1"/>
  <c r="D46" i="1"/>
  <c r="E13" i="1"/>
  <c r="E19" i="1"/>
  <c r="D31" i="1"/>
  <c r="D17" i="1"/>
  <c r="E14" i="1"/>
  <c r="E424" i="1"/>
  <c r="D40" i="1"/>
  <c r="D14" i="1"/>
  <c r="D424" i="1"/>
  <c r="E423" i="1"/>
  <c r="D13" i="1"/>
  <c r="D19" i="1"/>
  <c r="E425" i="1"/>
  <c r="E15" i="1"/>
  <c r="D15" i="1"/>
  <c r="D423" i="1"/>
  <c r="D425" i="1"/>
  <c r="N231" i="4"/>
  <c r="K190" i="4"/>
  <c r="E206" i="4"/>
  <c r="E302" i="4"/>
  <c r="M359" i="4"/>
  <c r="E315" i="4"/>
  <c r="N207" i="4"/>
  <c r="N263" i="4"/>
  <c r="M331" i="4"/>
  <c r="L311" i="4"/>
  <c r="N347" i="4"/>
  <c r="E323" i="4"/>
  <c r="G311" i="4"/>
  <c r="L291" i="4"/>
  <c r="F277" i="4"/>
  <c r="F273" i="4"/>
  <c r="K287" i="4"/>
  <c r="M283" i="4"/>
  <c r="G283" i="4"/>
  <c r="L263" i="4"/>
  <c r="F311" i="4"/>
  <c r="K289" i="4"/>
  <c r="K291" i="4"/>
  <c r="M291" i="4"/>
  <c r="K357" i="4"/>
  <c r="G319" i="4"/>
  <c r="G111" i="4"/>
  <c r="E99" i="4"/>
  <c r="E93" i="4"/>
  <c r="K21" i="4"/>
  <c r="K23" i="4"/>
  <c r="K27" i="4"/>
  <c r="E162" i="4"/>
  <c r="E158" i="4"/>
  <c r="E167" i="4"/>
  <c r="G159" i="4"/>
  <c r="E111" i="4"/>
  <c r="E74" i="4"/>
  <c r="E75" i="4"/>
  <c r="E79" i="4"/>
  <c r="G75" i="4"/>
  <c r="E58" i="4"/>
  <c r="K43" i="4"/>
  <c r="K37" i="4"/>
  <c r="K73" i="4"/>
  <c r="K75" i="4"/>
  <c r="K79" i="4"/>
  <c r="K63" i="4"/>
  <c r="K57" i="4"/>
  <c r="F243" i="4"/>
  <c r="L302" i="4"/>
  <c r="L14" i="4"/>
  <c r="L179" i="4"/>
  <c r="M183" i="4"/>
  <c r="N167" i="4"/>
  <c r="M162" i="4"/>
  <c r="M158" i="4"/>
  <c r="K349" i="4"/>
  <c r="K103" i="4"/>
  <c r="F115" i="4"/>
  <c r="L95" i="4"/>
  <c r="G126" i="4"/>
  <c r="G127" i="4"/>
  <c r="L62" i="4"/>
  <c r="L58" i="4"/>
  <c r="K93" i="4"/>
  <c r="G27" i="4"/>
  <c r="M205" i="4"/>
  <c r="F106" i="4"/>
  <c r="M319" i="4"/>
  <c r="E130" i="4"/>
  <c r="N331" i="4"/>
  <c r="N323" i="4"/>
  <c r="N318" i="4"/>
  <c r="N319" i="4"/>
  <c r="E278" i="4"/>
  <c r="E274" i="4"/>
  <c r="G255" i="4"/>
  <c r="K245" i="4"/>
  <c r="K251" i="4"/>
  <c r="N247" i="4"/>
  <c r="N241" i="4"/>
  <c r="N243" i="4"/>
  <c r="F231" i="4"/>
  <c r="N223" i="4"/>
  <c r="N211" i="4"/>
  <c r="E194" i="4"/>
  <c r="E198" i="4"/>
  <c r="K181" i="4"/>
  <c r="K123" i="4"/>
  <c r="G115" i="4"/>
  <c r="K83" i="4"/>
  <c r="F75" i="4"/>
  <c r="K71" i="4"/>
  <c r="G58" i="4"/>
  <c r="G51" i="4"/>
  <c r="N27" i="4"/>
  <c r="M278" i="4"/>
  <c r="M274" i="4"/>
  <c r="M275" i="4"/>
  <c r="L175" i="4"/>
  <c r="E37" i="4"/>
  <c r="M35" i="4"/>
  <c r="N163" i="4"/>
  <c r="E83" i="4"/>
  <c r="G167" i="4"/>
  <c r="L183" i="4"/>
  <c r="E171" i="4"/>
  <c r="E103" i="4"/>
  <c r="F331" i="4"/>
  <c r="E251" i="4"/>
  <c r="E295" i="4"/>
  <c r="E55" i="4"/>
  <c r="G305" i="4"/>
  <c r="G307" i="4"/>
  <c r="G302" i="4"/>
  <c r="K299" i="4"/>
  <c r="E291" i="4"/>
  <c r="K353" i="4"/>
  <c r="K281" i="4"/>
  <c r="K283" i="4"/>
  <c r="K267" i="4"/>
  <c r="M263" i="4"/>
  <c r="F247" i="4"/>
  <c r="E221" i="4"/>
  <c r="E227" i="4"/>
  <c r="K203" i="4"/>
  <c r="K197" i="4"/>
  <c r="K199" i="4"/>
  <c r="G163" i="4"/>
  <c r="E38" i="4"/>
  <c r="E34" i="4"/>
  <c r="M39" i="4"/>
  <c r="K131" i="4"/>
  <c r="K145" i="4"/>
  <c r="E223" i="4"/>
  <c r="N335" i="4"/>
  <c r="E317" i="4"/>
  <c r="E319" i="4"/>
  <c r="F319" i="4"/>
  <c r="G323" i="4"/>
  <c r="N291" i="4"/>
  <c r="G278" i="4"/>
  <c r="G274" i="4"/>
  <c r="G275" i="4"/>
  <c r="F263" i="4"/>
  <c r="F257" i="4"/>
  <c r="F253" i="4"/>
  <c r="F255" i="4"/>
  <c r="L241" i="4"/>
  <c r="L243" i="4"/>
  <c r="L247" i="4"/>
  <c r="G206" i="4"/>
  <c r="G207" i="4"/>
  <c r="E193" i="4"/>
  <c r="E195" i="4"/>
  <c r="E197" i="4"/>
  <c r="N58" i="4"/>
  <c r="F79" i="4"/>
  <c r="E65" i="4"/>
  <c r="E71" i="4"/>
  <c r="F58" i="4"/>
  <c r="F59" i="4"/>
  <c r="L51" i="4"/>
  <c r="G43" i="4"/>
  <c r="G231" i="4"/>
  <c r="F91" i="4"/>
  <c r="M355" i="4"/>
  <c r="L347" i="4"/>
  <c r="L331" i="4"/>
  <c r="M335" i="4"/>
  <c r="F307" i="4"/>
  <c r="F291" i="4"/>
  <c r="K261" i="4"/>
  <c r="K257" i="4"/>
  <c r="L231" i="4"/>
  <c r="G235" i="4"/>
  <c r="F223" i="4"/>
  <c r="L223" i="4"/>
  <c r="E219" i="4"/>
  <c r="G183" i="4"/>
  <c r="G105" i="4"/>
  <c r="M67" i="4"/>
  <c r="M51" i="4"/>
  <c r="F37" i="4"/>
  <c r="M43" i="4"/>
  <c r="K17" i="4"/>
  <c r="K19" i="4"/>
  <c r="K115" i="4"/>
  <c r="N158" i="4"/>
  <c r="N159" i="4"/>
  <c r="F179" i="4"/>
  <c r="K106" i="4"/>
  <c r="E178" i="4"/>
  <c r="E174" i="4"/>
  <c r="E175" i="4"/>
  <c r="E183" i="4"/>
  <c r="M173" i="4"/>
  <c r="M175" i="4"/>
  <c r="M179" i="4"/>
  <c r="N147" i="4"/>
  <c r="N142" i="4"/>
  <c r="N138" i="4"/>
  <c r="G138" i="4"/>
  <c r="G139" i="4"/>
  <c r="G143" i="4"/>
  <c r="F147" i="4"/>
  <c r="F141" i="4"/>
  <c r="N125" i="4"/>
  <c r="N127" i="4"/>
  <c r="N131" i="4"/>
  <c r="N94" i="4"/>
  <c r="N90" i="4"/>
  <c r="N99" i="4"/>
  <c r="G67" i="4"/>
  <c r="G61" i="4"/>
  <c r="K105" i="4"/>
  <c r="K163" i="4"/>
  <c r="N89" i="4"/>
  <c r="F163" i="4"/>
  <c r="E157" i="4"/>
  <c r="N23" i="4"/>
  <c r="N137" i="4"/>
  <c r="N139" i="4"/>
  <c r="L63" i="4"/>
  <c r="L57" i="4"/>
  <c r="L59" i="4"/>
  <c r="M163" i="4"/>
  <c r="M157" i="4"/>
  <c r="M159" i="4"/>
  <c r="F159" i="4"/>
  <c r="M137" i="4"/>
  <c r="M139" i="4"/>
  <c r="M143" i="4"/>
  <c r="N115" i="4"/>
  <c r="N110" i="4"/>
  <c r="N106" i="4"/>
  <c r="M115" i="4"/>
  <c r="M109" i="4"/>
  <c r="F105" i="4"/>
  <c r="F107" i="4"/>
  <c r="F111" i="4"/>
  <c r="N67" i="4"/>
  <c r="N61" i="4"/>
  <c r="L33" i="4"/>
  <c r="L21" i="4"/>
  <c r="L27" i="4"/>
  <c r="E141" i="4"/>
  <c r="E147" i="4"/>
  <c r="L141" i="4"/>
  <c r="L147" i="4"/>
  <c r="L131" i="4"/>
  <c r="L125" i="4"/>
  <c r="L127" i="4"/>
  <c r="G99" i="4"/>
  <c r="G93" i="4"/>
  <c r="M79" i="4"/>
  <c r="M73" i="4"/>
  <c r="M58" i="4"/>
  <c r="M63" i="4"/>
  <c r="M18" i="4"/>
  <c r="M19" i="4"/>
  <c r="M23" i="4"/>
  <c r="M27" i="4"/>
  <c r="F63" i="4"/>
  <c r="E18" i="4"/>
  <c r="E19" i="4"/>
  <c r="K58" i="4"/>
  <c r="K59" i="4"/>
  <c r="N79" i="4"/>
  <c r="G177" i="4"/>
  <c r="G37" i="4"/>
  <c r="G147" i="4"/>
  <c r="G17" i="4"/>
  <c r="G23" i="4"/>
  <c r="N183" i="4"/>
  <c r="N177" i="4"/>
  <c r="L163" i="4"/>
  <c r="L157" i="4"/>
  <c r="L159" i="4"/>
  <c r="E105" i="4"/>
  <c r="L115" i="4"/>
  <c r="L110" i="4"/>
  <c r="L106" i="4"/>
  <c r="N111" i="4"/>
  <c r="N105" i="4"/>
  <c r="N107" i="4"/>
  <c r="M99" i="4"/>
  <c r="M93" i="4"/>
  <c r="N37" i="4"/>
  <c r="N51" i="4"/>
  <c r="L38" i="4"/>
  <c r="L34" i="4"/>
  <c r="F27" i="4"/>
  <c r="F21" i="4"/>
  <c r="L355" i="4"/>
  <c r="N351" i="4"/>
  <c r="E247" i="4"/>
  <c r="E242" i="4"/>
  <c r="N302" i="4"/>
  <c r="M301" i="4"/>
  <c r="M242" i="4"/>
  <c r="M190" i="4"/>
  <c r="M247" i="4"/>
  <c r="G259" i="4"/>
  <c r="E331" i="4"/>
  <c r="N253" i="4"/>
  <c r="N255" i="4"/>
  <c r="N259" i="4"/>
  <c r="K310" i="4"/>
  <c r="K306" i="4"/>
  <c r="K302" i="4"/>
  <c r="K350" i="4"/>
  <c r="K351" i="4"/>
  <c r="E305" i="4"/>
  <c r="E311" i="4"/>
  <c r="L307" i="4"/>
  <c r="F302" i="4"/>
  <c r="L283" i="4"/>
  <c r="L277" i="4"/>
  <c r="K247" i="4"/>
  <c r="K241" i="4"/>
  <c r="K243" i="4"/>
  <c r="L206" i="4"/>
  <c r="L211" i="4"/>
  <c r="K253" i="4"/>
  <c r="K339" i="4"/>
  <c r="K345" i="4"/>
  <c r="L323" i="4"/>
  <c r="L317" i="4"/>
  <c r="N311" i="4"/>
  <c r="N305" i="4"/>
  <c r="F278" i="4"/>
  <c r="F274" i="4"/>
  <c r="F275" i="4"/>
  <c r="F283" i="4"/>
  <c r="E257" i="4"/>
  <c r="E263" i="4"/>
  <c r="L207" i="4"/>
  <c r="K277" i="4"/>
  <c r="K321" i="4"/>
  <c r="K327" i="4"/>
  <c r="K315" i="4"/>
  <c r="K309" i="4"/>
  <c r="E267" i="4"/>
  <c r="G243" i="4"/>
  <c r="K231" i="4"/>
  <c r="M235" i="4"/>
  <c r="M229" i="4"/>
  <c r="F206" i="4"/>
  <c r="F207" i="4"/>
  <c r="F301" i="4"/>
  <c r="K209" i="4"/>
  <c r="L342" i="4"/>
  <c r="L343" i="4"/>
  <c r="L351" i="4"/>
  <c r="M347" i="4"/>
  <c r="K333" i="4"/>
  <c r="G335" i="4"/>
  <c r="F335" i="4"/>
  <c r="M306" i="4"/>
  <c r="M302" i="4"/>
  <c r="M311" i="4"/>
  <c r="K346" i="4"/>
  <c r="F259" i="4"/>
  <c r="K206" i="4"/>
  <c r="E209" i="4"/>
  <c r="E215" i="4"/>
  <c r="F211" i="4"/>
  <c r="M195" i="4"/>
  <c r="E233" i="4"/>
  <c r="E239" i="4"/>
  <c r="K354" i="4"/>
  <c r="K223" i="4"/>
  <c r="F235" i="4"/>
  <c r="N278" i="4"/>
  <c r="N283" i="4"/>
  <c r="L257" i="4"/>
  <c r="M206" i="4"/>
  <c r="M207" i="4"/>
  <c r="L195" i="4"/>
  <c r="N342" i="4"/>
  <c r="N341" i="4"/>
  <c r="N343" i="4"/>
  <c r="N355" i="4"/>
  <c r="E335" i="4"/>
  <c r="E327" i="4"/>
  <c r="E283" i="4"/>
  <c r="E277" i="4"/>
  <c r="K262" i="4"/>
  <c r="K258" i="4"/>
  <c r="K254" i="4"/>
  <c r="M258" i="4"/>
  <c r="G263" i="4"/>
  <c r="L235" i="4"/>
  <c r="M342" i="4"/>
  <c r="M341" i="4"/>
  <c r="E203" i="4"/>
  <c r="K193" i="4"/>
  <c r="N195" i="4"/>
  <c r="N359" i="4"/>
  <c r="G195" i="4"/>
  <c r="M279" i="4"/>
  <c r="M231" i="4"/>
  <c r="M189" i="4"/>
  <c r="E243" i="4"/>
  <c r="E190" i="4"/>
  <c r="N189" i="4"/>
  <c r="L189" i="4"/>
  <c r="K189" i="4"/>
  <c r="N143" i="4"/>
  <c r="G279" i="4"/>
  <c r="F33" i="4"/>
  <c r="F35" i="4"/>
  <c r="F39" i="4"/>
  <c r="E39" i="4"/>
  <c r="E33" i="4"/>
  <c r="E35" i="4"/>
  <c r="K89" i="4"/>
  <c r="K91" i="4"/>
  <c r="K95" i="4"/>
  <c r="E95" i="4"/>
  <c r="E89" i="4"/>
  <c r="E91" i="4"/>
  <c r="F279" i="4"/>
  <c r="K355" i="4"/>
  <c r="G301" i="4"/>
  <c r="G303" i="4"/>
  <c r="F303" i="4"/>
  <c r="L105" i="4"/>
  <c r="L107" i="4"/>
  <c r="K147" i="4"/>
  <c r="K141" i="4"/>
  <c r="K33" i="4"/>
  <c r="K35" i="4"/>
  <c r="K39" i="4"/>
  <c r="G106" i="4"/>
  <c r="F14" i="4"/>
  <c r="F342" i="4"/>
  <c r="M243" i="4"/>
  <c r="L111" i="4"/>
  <c r="E159" i="4"/>
  <c r="K107" i="4"/>
  <c r="G107" i="4"/>
  <c r="E67" i="4"/>
  <c r="E61" i="4"/>
  <c r="E199" i="4"/>
  <c r="E163" i="4"/>
  <c r="K177" i="4"/>
  <c r="K183" i="4"/>
  <c r="E131" i="4"/>
  <c r="E126" i="4"/>
  <c r="E137" i="4"/>
  <c r="E139" i="4"/>
  <c r="E143" i="4"/>
  <c r="M75" i="4"/>
  <c r="M57" i="4"/>
  <c r="M59" i="4"/>
  <c r="N63" i="4"/>
  <c r="N57" i="4"/>
  <c r="N59" i="4"/>
  <c r="M89" i="4"/>
  <c r="M91" i="4"/>
  <c r="M95" i="4"/>
  <c r="G179" i="4"/>
  <c r="G173" i="4"/>
  <c r="G175" i="4"/>
  <c r="G95" i="4"/>
  <c r="G89" i="4"/>
  <c r="G91" i="4"/>
  <c r="L39" i="4"/>
  <c r="F137" i="4"/>
  <c r="F139" i="4"/>
  <c r="F143" i="4"/>
  <c r="N179" i="4"/>
  <c r="N173" i="4"/>
  <c r="N175" i="4"/>
  <c r="L35" i="4"/>
  <c r="M105" i="4"/>
  <c r="M107" i="4"/>
  <c r="M111" i="4"/>
  <c r="G63" i="4"/>
  <c r="G57" i="4"/>
  <c r="G59" i="4"/>
  <c r="F17" i="4"/>
  <c r="F19" i="4"/>
  <c r="F23" i="4"/>
  <c r="N33" i="4"/>
  <c r="N35" i="4"/>
  <c r="N39" i="4"/>
  <c r="G39" i="4"/>
  <c r="G33" i="4"/>
  <c r="G35" i="4"/>
  <c r="L137" i="4"/>
  <c r="L139" i="4"/>
  <c r="L143" i="4"/>
  <c r="L17" i="4"/>
  <c r="L19" i="4"/>
  <c r="L23" i="4"/>
  <c r="E179" i="4"/>
  <c r="N91" i="4"/>
  <c r="N95" i="4"/>
  <c r="K305" i="4"/>
  <c r="K311" i="4"/>
  <c r="E301" i="4"/>
  <c r="E303" i="4"/>
  <c r="E307" i="4"/>
  <c r="E279" i="4"/>
  <c r="E273" i="4"/>
  <c r="E275" i="4"/>
  <c r="N274" i="4"/>
  <c r="N275" i="4"/>
  <c r="N279" i="4"/>
  <c r="K342" i="4"/>
  <c r="K14" i="4"/>
  <c r="E205" i="4"/>
  <c r="E207" i="4"/>
  <c r="E211" i="4"/>
  <c r="K259" i="4"/>
  <c r="K263" i="4"/>
  <c r="M303" i="4"/>
  <c r="E235" i="4"/>
  <c r="E229" i="4"/>
  <c r="E259" i="4"/>
  <c r="E253" i="4"/>
  <c r="E255" i="4"/>
  <c r="K279" i="4"/>
  <c r="K273" i="4"/>
  <c r="K275" i="4"/>
  <c r="L319" i="4"/>
  <c r="L301" i="4"/>
  <c r="L303" i="4"/>
  <c r="M343" i="4"/>
  <c r="M254" i="4"/>
  <c r="M255" i="4"/>
  <c r="M259" i="4"/>
  <c r="L253" i="4"/>
  <c r="L255" i="4"/>
  <c r="L259" i="4"/>
  <c r="K335" i="4"/>
  <c r="K329" i="4"/>
  <c r="K331" i="4"/>
  <c r="K211" i="4"/>
  <c r="K205" i="4"/>
  <c r="K207" i="4"/>
  <c r="K323" i="4"/>
  <c r="K317" i="4"/>
  <c r="K319" i="4"/>
  <c r="N301" i="4"/>
  <c r="N303" i="4"/>
  <c r="N307" i="4"/>
  <c r="K347" i="4"/>
  <c r="K255" i="4"/>
  <c r="L279" i="4"/>
  <c r="L273" i="4"/>
  <c r="L275" i="4"/>
  <c r="M307" i="4"/>
  <c r="K195" i="4"/>
  <c r="K359" i="4"/>
  <c r="K341" i="4"/>
  <c r="K343" i="4"/>
  <c r="F191" i="4"/>
  <c r="L191" i="4"/>
  <c r="N13" i="4"/>
  <c r="N191" i="4"/>
  <c r="G191" i="4"/>
  <c r="M191" i="4"/>
  <c r="E231" i="4"/>
  <c r="E189" i="4"/>
  <c r="E127" i="4"/>
  <c r="E106" i="4"/>
  <c r="M13" i="4"/>
  <c r="E57" i="4"/>
  <c r="E59" i="4"/>
  <c r="E63" i="4"/>
  <c r="K137" i="4"/>
  <c r="K139" i="4"/>
  <c r="K143" i="4"/>
  <c r="G13" i="4"/>
  <c r="G341" i="4"/>
  <c r="K173" i="4"/>
  <c r="K175" i="4"/>
  <c r="K179" i="4"/>
  <c r="F13" i="4"/>
  <c r="F341" i="4"/>
  <c r="F343" i="4"/>
  <c r="N14" i="4"/>
  <c r="N15" i="4"/>
  <c r="K301" i="4"/>
  <c r="K303" i="4"/>
  <c r="K307" i="4"/>
  <c r="L13" i="4"/>
  <c r="L15" i="4"/>
  <c r="M14" i="4"/>
  <c r="M15" i="4"/>
  <c r="E191" i="4"/>
  <c r="F15" i="4"/>
  <c r="E14" i="4"/>
  <c r="E342" i="4"/>
  <c r="E107" i="4"/>
  <c r="E13" i="4"/>
  <c r="K191" i="4"/>
  <c r="K13" i="4"/>
  <c r="K15" i="4"/>
  <c r="E15" i="4"/>
  <c r="E341" i="4"/>
  <c r="E343" i="4"/>
  <c r="G14" i="4"/>
  <c r="J39" i="13"/>
  <c r="I43" i="13"/>
  <c r="M39" i="13"/>
  <c r="L43" i="13"/>
  <c r="H93" i="13"/>
  <c r="N44" i="13"/>
  <c r="N40" i="13"/>
  <c r="N13" i="13"/>
  <c r="N747" i="13"/>
  <c r="M44" i="13"/>
  <c r="L42" i="13"/>
  <c r="H42" i="13"/>
  <c r="M38" i="13"/>
  <c r="I184" i="13"/>
  <c r="H184" i="13"/>
  <c r="I38" i="13"/>
  <c r="J11" i="13"/>
  <c r="I196" i="13"/>
  <c r="H196" i="13"/>
  <c r="J44" i="13"/>
  <c r="I148" i="12"/>
  <c r="I151" i="12"/>
  <c r="J87" i="11"/>
  <c r="J90" i="11"/>
  <c r="N90" i="11"/>
  <c r="J64" i="11"/>
  <c r="N460" i="11"/>
  <c r="J457" i="11"/>
  <c r="J460" i="11"/>
  <c r="J522" i="11"/>
  <c r="J525" i="11"/>
  <c r="N500" i="11"/>
  <c r="J497" i="11"/>
  <c r="J500" i="11"/>
  <c r="O542" i="11"/>
  <c r="O545" i="11"/>
  <c r="O540" i="11"/>
  <c r="N415" i="11"/>
  <c r="J412" i="11"/>
  <c r="J415" i="11"/>
  <c r="J385" i="11"/>
  <c r="J388" i="11"/>
  <c r="O403" i="11"/>
  <c r="J465" i="11"/>
  <c r="N539" i="11"/>
  <c r="N544" i="11"/>
  <c r="J409" i="11"/>
  <c r="J539" i="11"/>
  <c r="J327" i="11"/>
  <c r="J330" i="11"/>
  <c r="N330" i="11"/>
  <c r="N290" i="11"/>
  <c r="J287" i="11"/>
  <c r="J290" i="11"/>
  <c r="N250" i="11"/>
  <c r="J247" i="11"/>
  <c r="J250" i="11"/>
  <c r="N210" i="11"/>
  <c r="J207" i="11"/>
  <c r="J210" i="11"/>
  <c r="N170" i="11"/>
  <c r="J167" i="11"/>
  <c r="J170" i="11"/>
  <c r="N115" i="11"/>
  <c r="J112" i="11"/>
  <c r="J115" i="11"/>
  <c r="N367" i="11"/>
  <c r="N370" i="11"/>
  <c r="N20" i="11"/>
  <c r="J17" i="11"/>
  <c r="N65" i="11"/>
  <c r="J410" i="11"/>
  <c r="N378" i="11"/>
  <c r="N400" i="11"/>
  <c r="N125" i="11"/>
  <c r="J122" i="11"/>
  <c r="J125" i="11"/>
  <c r="J70" i="11"/>
  <c r="J92" i="11"/>
  <c r="J95" i="11"/>
  <c r="N95" i="11"/>
  <c r="J42" i="11"/>
  <c r="J45" i="11"/>
  <c r="J517" i="11"/>
  <c r="J520" i="11"/>
  <c r="N520" i="11"/>
  <c r="J432" i="11"/>
  <c r="J435" i="11"/>
  <c r="N435" i="11"/>
  <c r="J487" i="11"/>
  <c r="J490" i="11"/>
  <c r="N490" i="11"/>
  <c r="N445" i="11"/>
  <c r="J442" i="11"/>
  <c r="J445" i="11"/>
  <c r="J317" i="11"/>
  <c r="J320" i="11"/>
  <c r="N320" i="11"/>
  <c r="N280" i="11"/>
  <c r="J277" i="11"/>
  <c r="J280" i="11"/>
  <c r="N240" i="11"/>
  <c r="J237" i="11"/>
  <c r="J240" i="11"/>
  <c r="N200" i="11"/>
  <c r="J197" i="11"/>
  <c r="J200" i="11"/>
  <c r="N160" i="11"/>
  <c r="J157" i="11"/>
  <c r="J160" i="11"/>
  <c r="J232" i="11"/>
  <c r="J235" i="11"/>
  <c r="N75" i="11"/>
  <c r="J72" i="11"/>
  <c r="J75" i="11"/>
  <c r="J422" i="11"/>
  <c r="J425" i="11"/>
  <c r="N425" i="11"/>
  <c r="K542" i="11"/>
  <c r="K545" i="11"/>
  <c r="K540" i="11"/>
  <c r="J65" i="11"/>
  <c r="N505" i="11"/>
  <c r="H401" i="11"/>
  <c r="H543" i="11"/>
  <c r="H390" i="11"/>
  <c r="H400" i="11"/>
  <c r="H542" i="11"/>
  <c r="J507" i="11"/>
  <c r="J510" i="11"/>
  <c r="N510" i="11"/>
  <c r="R542" i="11"/>
  <c r="R545" i="11"/>
  <c r="R540" i="11"/>
  <c r="J347" i="11"/>
  <c r="J350" i="11"/>
  <c r="N350" i="11"/>
  <c r="J307" i="11"/>
  <c r="J310" i="11"/>
  <c r="N310" i="11"/>
  <c r="N270" i="11"/>
  <c r="J267" i="11"/>
  <c r="J270" i="11"/>
  <c r="N230" i="11"/>
  <c r="J227" i="11"/>
  <c r="J230" i="11"/>
  <c r="N190" i="11"/>
  <c r="J187" i="11"/>
  <c r="J190" i="11"/>
  <c r="N150" i="11"/>
  <c r="J147" i="11"/>
  <c r="J150" i="11"/>
  <c r="J467" i="11"/>
  <c r="J470" i="11"/>
  <c r="N470" i="11"/>
  <c r="J285" i="11"/>
  <c r="J245" i="11"/>
  <c r="J205" i="11"/>
  <c r="J165" i="11"/>
  <c r="N120" i="11"/>
  <c r="J117" i="11"/>
  <c r="J120" i="11"/>
  <c r="J325" i="11"/>
  <c r="P545" i="11"/>
  <c r="N130" i="11"/>
  <c r="J127" i="11"/>
  <c r="J130" i="11"/>
  <c r="J102" i="11"/>
  <c r="J105" i="11"/>
  <c r="N55" i="11"/>
  <c r="J52" i="11"/>
  <c r="J55" i="11"/>
  <c r="N365" i="11"/>
  <c r="J502" i="11"/>
  <c r="J505" i="11"/>
  <c r="J477" i="11"/>
  <c r="J480" i="11"/>
  <c r="N480" i="11"/>
  <c r="J455" i="11"/>
  <c r="J527" i="11"/>
  <c r="J530" i="11"/>
  <c r="N530" i="11"/>
  <c r="N465" i="11"/>
  <c r="N402" i="11"/>
  <c r="J377" i="11"/>
  <c r="J402" i="11"/>
  <c r="J357" i="11"/>
  <c r="J360" i="11"/>
  <c r="J515" i="11"/>
  <c r="N398" i="11"/>
  <c r="J395" i="11"/>
  <c r="J398" i="11"/>
  <c r="J365" i="11"/>
  <c r="J337" i="11"/>
  <c r="J340" i="11"/>
  <c r="N340" i="11"/>
  <c r="N300" i="11"/>
  <c r="J297" i="11"/>
  <c r="J300" i="11"/>
  <c r="N260" i="11"/>
  <c r="J257" i="11"/>
  <c r="J260" i="11"/>
  <c r="N220" i="11"/>
  <c r="J217" i="11"/>
  <c r="J220" i="11"/>
  <c r="N180" i="11"/>
  <c r="J177" i="11"/>
  <c r="J180" i="11"/>
  <c r="N140" i="11"/>
  <c r="J137" i="11"/>
  <c r="J140" i="11"/>
  <c r="N537" i="11"/>
  <c r="N410" i="11"/>
  <c r="J380" i="11"/>
  <c r="J383" i="11"/>
  <c r="J292" i="11"/>
  <c r="J295" i="11"/>
  <c r="J252" i="11"/>
  <c r="J255" i="11"/>
  <c r="J212" i="11"/>
  <c r="J215" i="11"/>
  <c r="J172" i="11"/>
  <c r="J175" i="11"/>
  <c r="J132" i="11"/>
  <c r="J135" i="11"/>
  <c r="N80" i="11"/>
  <c r="J77" i="11"/>
  <c r="J80" i="11"/>
  <c r="J369" i="11"/>
  <c r="J335" i="11"/>
  <c r="N85" i="11"/>
  <c r="J82" i="11"/>
  <c r="J85" i="11"/>
  <c r="F14" i="10"/>
  <c r="F22" i="10"/>
  <c r="F33" i="10"/>
  <c r="E59" i="10"/>
  <c r="D33" i="10"/>
  <c r="F41" i="10"/>
  <c r="F39" i="10"/>
  <c r="F37" i="10"/>
  <c r="F50" i="10"/>
  <c r="F53" i="10"/>
  <c r="F54" i="10"/>
  <c r="F58" i="10"/>
  <c r="E24" i="10"/>
  <c r="F24" i="10"/>
  <c r="F31" i="10"/>
  <c r="D37" i="10"/>
  <c r="D50" i="10"/>
  <c r="D53" i="10"/>
  <c r="D55" i="10"/>
  <c r="D57" i="10"/>
  <c r="D59" i="10"/>
  <c r="D58" i="10"/>
  <c r="G104" i="2"/>
  <c r="F103" i="2"/>
  <c r="G103" i="2"/>
  <c r="F10" i="2"/>
  <c r="G11" i="2"/>
  <c r="G74" i="2"/>
  <c r="E77" i="2"/>
  <c r="G77" i="2"/>
  <c r="G348" i="2"/>
  <c r="F264" i="2"/>
  <c r="G264" i="2"/>
  <c r="E318" i="2"/>
  <c r="G318" i="2"/>
  <c r="E373" i="2"/>
  <c r="G373" i="2"/>
  <c r="E213" i="2"/>
  <c r="G213" i="2"/>
  <c r="G282" i="2"/>
  <c r="E61" i="2"/>
  <c r="G61" i="2"/>
  <c r="G349" i="2"/>
  <c r="G17" i="2"/>
  <c r="G137" i="2"/>
  <c r="G10" i="9"/>
  <c r="E9" i="9"/>
  <c r="F10" i="9"/>
  <c r="G27" i="9"/>
  <c r="F92" i="9"/>
  <c r="G92" i="9"/>
  <c r="G17" i="9"/>
  <c r="G30" i="9"/>
  <c r="G35" i="9"/>
  <c r="E98" i="9"/>
  <c r="G98" i="9"/>
  <c r="G102" i="9"/>
  <c r="L163" i="8"/>
  <c r="G15" i="8"/>
  <c r="O15" i="8"/>
  <c r="D135" i="8"/>
  <c r="M163" i="8"/>
  <c r="Q163" i="8"/>
  <c r="E162" i="8"/>
  <c r="K163" i="8"/>
  <c r="O163" i="8"/>
  <c r="F107" i="8"/>
  <c r="D107" i="8"/>
  <c r="F161" i="8"/>
  <c r="F163" i="8"/>
  <c r="D19" i="8"/>
  <c r="L107" i="8"/>
  <c r="H163" i="8"/>
  <c r="P163" i="8"/>
  <c r="K15" i="8"/>
  <c r="I14" i="8"/>
  <c r="I162" i="8"/>
  <c r="I163" i="8"/>
  <c r="I67" i="8"/>
  <c r="I15" i="8"/>
  <c r="F47" i="8"/>
  <c r="D46" i="8"/>
  <c r="E67" i="8"/>
  <c r="G106" i="8"/>
  <c r="D106" i="8"/>
  <c r="G15" i="4"/>
  <c r="G342" i="4"/>
  <c r="G343" i="4"/>
  <c r="M40" i="13"/>
  <c r="L44" i="13"/>
  <c r="I44" i="13"/>
  <c r="H44" i="13"/>
  <c r="J40" i="13"/>
  <c r="H43" i="13"/>
  <c r="I11" i="13"/>
  <c r="J745" i="13"/>
  <c r="H38" i="13"/>
  <c r="M12" i="13"/>
  <c r="L39" i="13"/>
  <c r="L38" i="13"/>
  <c r="M11" i="13"/>
  <c r="J12" i="13"/>
  <c r="I39" i="13"/>
  <c r="H39" i="13"/>
  <c r="J367" i="11"/>
  <c r="J370" i="11"/>
  <c r="J20" i="11"/>
  <c r="J400" i="11"/>
  <c r="J403" i="11"/>
  <c r="J537" i="11"/>
  <c r="J378" i="11"/>
  <c r="N542" i="11"/>
  <c r="N545" i="11"/>
  <c r="N540" i="11"/>
  <c r="N403" i="11"/>
  <c r="J544" i="11"/>
  <c r="E31" i="10"/>
  <c r="E33" i="10"/>
  <c r="E35" i="10"/>
  <c r="F35" i="10"/>
  <c r="F55" i="10"/>
  <c r="F57" i="10"/>
  <c r="F59" i="10"/>
  <c r="E10" i="2"/>
  <c r="G10" i="2"/>
  <c r="F9" i="9"/>
  <c r="G9" i="9"/>
  <c r="D67" i="8"/>
  <c r="E15" i="8"/>
  <c r="D14" i="8"/>
  <c r="F15" i="8"/>
  <c r="D47" i="8"/>
  <c r="G162" i="8"/>
  <c r="G163" i="8"/>
  <c r="M745" i="13"/>
  <c r="L11" i="13"/>
  <c r="L745" i="13"/>
  <c r="I40" i="13"/>
  <c r="J13" i="13"/>
  <c r="I745" i="13"/>
  <c r="J746" i="13"/>
  <c r="I12" i="13"/>
  <c r="M746" i="13"/>
  <c r="L12" i="13"/>
  <c r="L746" i="13"/>
  <c r="L40" i="13"/>
  <c r="M13" i="13"/>
  <c r="J542" i="11"/>
  <c r="J545" i="11"/>
  <c r="J540" i="11"/>
  <c r="D162" i="8"/>
  <c r="D163" i="8"/>
  <c r="E163" i="8"/>
  <c r="D15" i="8"/>
  <c r="I746" i="13"/>
  <c r="H12" i="13"/>
  <c r="H746" i="13"/>
  <c r="J747" i="13"/>
  <c r="I13" i="13"/>
  <c r="M747" i="13"/>
  <c r="L13" i="13"/>
  <c r="L747" i="13"/>
  <c r="H40" i="13"/>
  <c r="H11" i="13"/>
  <c r="H745" i="13"/>
  <c r="I747" i="13"/>
  <c r="H13" i="13"/>
  <c r="H747" i="13"/>
</calcChain>
</file>

<file path=xl/sharedStrings.xml><?xml version="1.0" encoding="utf-8"?>
<sst xmlns="http://schemas.openxmlformats.org/spreadsheetml/2006/main" count="6513" uniqueCount="1342">
  <si>
    <t>Załącznik nr 3 do uchwały</t>
  </si>
  <si>
    <r>
      <rPr>
        <sz val="10"/>
        <rFont val="Times New Roman"/>
        <family val="1"/>
        <charset val="238"/>
      </rPr>
      <t xml:space="preserve">W załączniku </t>
    </r>
    <r>
      <rPr>
        <b/>
        <sz val="10"/>
        <rFont val="Times New Roman"/>
        <family val="1"/>
        <charset val="238"/>
      </rPr>
      <t>nr 3 "Wydatki budżetu Województwa Kujawsko-Pomorskiego wg grup wydatków. Plan na 2020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XII/262/19 Sejmiku Województwa Kujawsko-Pomorskiego z dnia 16 grudnia 2019 roku w sprawie budżetu województwa na rok 2020 (z późn. zm.), wprowadza się następujące zmiany:</t>
    </r>
  </si>
  <si>
    <t>w złotych</t>
  </si>
  <si>
    <t>Dział                   Rozdział</t>
  </si>
  <si>
    <t>Nazwa</t>
  </si>
  <si>
    <t>*</t>
  </si>
  <si>
    <t>Ogółem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</si>
  <si>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</si>
  <si>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</si>
  <si>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</si>
  <si>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</si>
  <si>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</si>
  <si>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</si>
  <si>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</si>
  <si>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</si>
  <si>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</si>
  <si>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</si>
  <si>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</si>
  <si>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</si>
  <si>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</si>
  <si>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OGÓŁEM</t>
  </si>
  <si>
    <t>a</t>
  </si>
  <si>
    <t>b</t>
  </si>
  <si>
    <t>c</t>
  </si>
  <si>
    <t>010</t>
  </si>
  <si>
    <t>ROLNICTWO I ŁOWIECTWO</t>
  </si>
  <si>
    <t>01006</t>
  </si>
  <si>
    <t>Zarządy melioracji i urządzeń wodnych</t>
  </si>
  <si>
    <t>01008</t>
  </si>
  <si>
    <t>Melioracje wodne</t>
  </si>
  <si>
    <t>01009</t>
  </si>
  <si>
    <t>Spółki wodne</t>
  </si>
  <si>
    <t>01041</t>
  </si>
  <si>
    <t xml:space="preserve">Program Rozwoju Obszarów Wiejskich                                             </t>
  </si>
  <si>
    <t>01042</t>
  </si>
  <si>
    <t>Wyłączenie z produkcji gruntów rolnych</t>
  </si>
  <si>
    <t>01095</t>
  </si>
  <si>
    <t>Pozostała działalność</t>
  </si>
  <si>
    <t>050</t>
  </si>
  <si>
    <t>RYBOŁÓWSTWO I RYBACTWO</t>
  </si>
  <si>
    <t>05002</t>
  </si>
  <si>
    <t>Rybactwo</t>
  </si>
  <si>
    <t>05011</t>
  </si>
  <si>
    <t>Program Operacyjny Zrównoważony rozwój sektora rybołówstwa i nadbrzeżnych obszarów rybackich 2007-2013 oraz Program Operacyjny Rybactwo i Morze 2014-2020</t>
  </si>
  <si>
    <t>05095</t>
  </si>
  <si>
    <t>150</t>
  </si>
  <si>
    <t>PRZETWÓRSTWO PRZEMYSŁOWE</t>
  </si>
  <si>
    <t>15011</t>
  </si>
  <si>
    <t>Rozwój  przedsiębiorczości</t>
  </si>
  <si>
    <t>15013</t>
  </si>
  <si>
    <t>Rozwój kadr nowoczesnej gospodarki i przedsiębiorczości</t>
  </si>
  <si>
    <t>15095</t>
  </si>
  <si>
    <t>500</t>
  </si>
  <si>
    <t>HANDEL</t>
  </si>
  <si>
    <t>50005</t>
  </si>
  <si>
    <t>Promocja eksportu</t>
  </si>
  <si>
    <t>600</t>
  </si>
  <si>
    <t>TRANSPORT I ŁĄCZNOŚĆ</t>
  </si>
  <si>
    <t>60001</t>
  </si>
  <si>
    <t>Krajowe pasażerskie przewozy kolejowe</t>
  </si>
  <si>
    <t>60002</t>
  </si>
  <si>
    <t>Infrastruktura kolejowa</t>
  </si>
  <si>
    <t>60003</t>
  </si>
  <si>
    <t>Krajowe pasażerskie przewozy autobusowe</t>
  </si>
  <si>
    <t>Lokalny transport zbiorowy</t>
  </si>
  <si>
    <t>60013</t>
  </si>
  <si>
    <t>Drogi publiczne wojewódzkie</t>
  </si>
  <si>
    <t>60014</t>
  </si>
  <si>
    <t>Drogi publiczne powiatowe</t>
  </si>
  <si>
    <t>60016</t>
  </si>
  <si>
    <t>Drogi publiczne gminne</t>
  </si>
  <si>
    <t>Infrastruktura portowa</t>
  </si>
  <si>
    <t>60095</t>
  </si>
  <si>
    <t>630</t>
  </si>
  <si>
    <t>TURYSTYKA</t>
  </si>
  <si>
    <t>63003</t>
  </si>
  <si>
    <t>Zadania w zakresie upowszechniania turystyki</t>
  </si>
  <si>
    <t>63095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</si>
  <si>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</si>
  <si>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</si>
  <si>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</si>
  <si>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</si>
  <si>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</si>
  <si>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</si>
  <si>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</si>
  <si>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</si>
  <si>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</si>
  <si>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</si>
  <si>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</si>
  <si>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</si>
  <si>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</si>
  <si>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</si>
  <si>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Pozostała działanoiść</t>
  </si>
  <si>
    <t>720</t>
  </si>
  <si>
    <t>INFORMATYKA</t>
  </si>
  <si>
    <t>72095</t>
  </si>
  <si>
    <t>730</t>
  </si>
  <si>
    <t>SZKOLNICTWO WYŻSZE I NAUKA</t>
  </si>
  <si>
    <t>73014</t>
  </si>
  <si>
    <t>Działalność dydaktyczna i badawcza</t>
  </si>
  <si>
    <t>73095</t>
  </si>
  <si>
    <t>750</t>
  </si>
  <si>
    <t>ADMINISTRACJA PUBLICZNA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</si>
  <si>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</si>
  <si>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</si>
  <si>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</si>
  <si>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</si>
  <si>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</si>
  <si>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</si>
  <si>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</si>
  <si>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</si>
  <si>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</si>
  <si>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</si>
  <si>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</si>
  <si>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</si>
  <si>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</si>
  <si>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</si>
  <si>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</si>
  <si>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</si>
  <si>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</si>
  <si>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</si>
  <si>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</si>
  <si>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</si>
  <si>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</si>
  <si>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</si>
  <si>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</si>
  <si>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</si>
  <si>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</t>
  </si>
  <si>
    <t>RÓŻNE ROZLICZENIA</t>
  </si>
  <si>
    <t>75818</t>
  </si>
  <si>
    <t>Rezerwy ogólne i celowe</t>
  </si>
  <si>
    <t>801</t>
  </si>
  <si>
    <t>OŚWIATA I WYCHOWANIE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</si>
  <si>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</si>
  <si>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</si>
  <si>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</si>
  <si>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</si>
  <si>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</si>
  <si>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</si>
  <si>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</si>
  <si>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</si>
  <si>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</si>
  <si>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</si>
  <si>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</si>
  <si>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</si>
  <si>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</si>
  <si>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</si>
  <si>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</si>
  <si>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</si>
  <si>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</si>
  <si>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</si>
  <si>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</si>
  <si>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</si>
  <si>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</si>
  <si>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80151</t>
  </si>
  <si>
    <t>Kwalifikacyjne kursy zawodowe</t>
  </si>
  <si>
    <t>Zapewnienie uczniom prawa do bezpłatnego dostępu do podręczników, materiałów edukacyjnych lub materiałów ćwiczeniowych</t>
  </si>
  <si>
    <t>80195</t>
  </si>
  <si>
    <t>851</t>
  </si>
  <si>
    <t>OCHRONA ZDROWIA</t>
  </si>
  <si>
    <t>Szpitale ogólne</t>
  </si>
  <si>
    <t>Leczenie sanatoryjno-klimatyczne</t>
  </si>
  <si>
    <t>Lecznictwo psychiatryczne</t>
  </si>
  <si>
    <t>Ratownictwo medyczne</t>
  </si>
  <si>
    <t>Medycyna pracy</t>
  </si>
  <si>
    <t>Programy polityki zdrowotnej</t>
  </si>
  <si>
    <t>Zwalczanie narkomanii</t>
  </si>
  <si>
    <t>Przeciwdziałanie alkoholizmowi</t>
  </si>
  <si>
    <t>Składki na ubezpieczenie zdrowotne oraz świadczenia dla osób nieobjętych obowiązkiem ubezpieczenia zdrowotnego</t>
  </si>
  <si>
    <t>POMOC SPOŁECZNA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</si>
  <si>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</si>
  <si>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</si>
  <si>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</si>
  <si>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</si>
  <si>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POZOSTAŁE ZADANIA W ZAKRESIE POLITYKI SPOŁECZNEJ</t>
  </si>
  <si>
    <t>Rehabilitacja zawodowa i społeczna osób niepełnosprawnych</t>
  </si>
  <si>
    <t>Państwowy Fundusz Rehabilitacji Osób Niepełnosprawnych</t>
  </si>
  <si>
    <t>Fundusz Gwarantowanych Świadczeń Pracowniczych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</si>
  <si>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</si>
  <si>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</si>
  <si>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</si>
  <si>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</si>
  <si>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</si>
  <si>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</si>
  <si>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</si>
  <si>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</si>
  <si>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RODZINA</t>
  </si>
  <si>
    <t>Działalność ośrodków adopcyjnych</t>
  </si>
  <si>
    <t>GOSPODARKA KOMUNALNA I OCHRONA ŚRODOWISKA</t>
  </si>
  <si>
    <t>Gospodarka ściekowa i ochrona wód</t>
  </si>
  <si>
    <t>Gospodarka odpadami komunalnymi</t>
  </si>
  <si>
    <t>Ochrona powietrza atmosferycznego i klimatu</t>
  </si>
  <si>
    <t>Zmniejszenie hałasu i wibracji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</si>
  <si>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</si>
  <si>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</si>
  <si>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</si>
  <si>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</si>
  <si>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KULTURA I OCHRONA DZIEDZICTWA NARODOWEGO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</si>
  <si>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</si>
  <si>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</si>
  <si>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</si>
  <si>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</si>
  <si>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</si>
  <si>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</si>
  <si>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</si>
  <si>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</si>
  <si>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</si>
  <si>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>OGRODY BOTANICZNE I ZOOLOGICZNE ORAZ NATURALNE OBSZARY I OBIEKTY CHRONIONEJ PRZYRODY</t>
  </si>
  <si>
    <t>Parki krajobrazowe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</si>
  <si>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</si>
  <si>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</si>
  <si>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</si>
  <si>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</si>
  <si>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</si>
  <si>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Załącznik nr 4 do uchwały</t>
  </si>
  <si>
    <r>
      <rPr>
        <sz val="10"/>
        <rFont val="Times New Roman"/>
        <family val="1"/>
        <charset val="238"/>
      </rPr>
      <t xml:space="preserve">W załączniku </t>
    </r>
    <r>
      <rPr>
        <b/>
        <sz val="10"/>
        <rFont val="Times New Roman"/>
        <family val="1"/>
        <charset val="238"/>
      </rPr>
      <t xml:space="preserve">nr 4 "Wydatki budżetu Województwa Kujawsko-Pomorskiego wg klasyfikacji budżetowej. Plan na 2020 rok" </t>
    </r>
    <r>
      <rPr>
        <sz val="10"/>
        <rFont val="Times New Roman"/>
        <family val="1"/>
        <charset val="238"/>
      </rPr>
      <t>do uchwały Nr XII/262/19 Sejmiku Województwa Kujawsko-Pomorskiego z dnia 16 grudnia 2019 roku w sprawie budżetu województwa na rok 2020 (z późn. zm.), wprowadza się następujące zmiany:</t>
    </r>
  </si>
  <si>
    <t>Dział</t>
  </si>
  <si>
    <t>§</t>
  </si>
  <si>
    <t>Treść</t>
  </si>
  <si>
    <t xml:space="preserve">Plan na </t>
  </si>
  <si>
    <t>Zwiększenie</t>
  </si>
  <si>
    <t>Zmniejszenie</t>
  </si>
  <si>
    <t>Plan po</t>
  </si>
  <si>
    <t>Rozdział</t>
  </si>
  <si>
    <t xml:space="preserve">2020 r. </t>
  </si>
  <si>
    <t>zmianach</t>
  </si>
  <si>
    <t>WYDATKI OGÓŁEM</t>
  </si>
  <si>
    <r>
      <rPr>
        <sz val="10"/>
        <rFont val="Times New Roman"/>
        <family val="1"/>
        <charset val="238"/>
      </rPr>
      <t xml:space="preserve">W załączniku </t>
    </r>
    <r>
      <rPr>
        <b/>
        <sz val="10"/>
        <rFont val="Times New Roman"/>
        <family val="1"/>
        <charset val="238"/>
      </rPr>
      <t>nr 8 "Wydatki na zadania inwestycyjne. Plan na 2020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XII/262/19 Sejmiku Województwa Kujawsko-Pomorskiego z dnia 16 grudnia 2019 roku w sprawie budżetu województwa na rok 2020 (z późn. zm.), wprowadza się następujące zmiany:</t>
    </r>
  </si>
  <si>
    <t>Lp</t>
  </si>
  <si>
    <t>Nazwa zadania inwestycyjnego</t>
  </si>
  <si>
    <t>Okres realizacji</t>
  </si>
  <si>
    <t>Ogólny koszt zadania</t>
  </si>
  <si>
    <t>Przewidywane nakłady poniesione do końca 2019 r.</t>
  </si>
  <si>
    <t>Planowane wydatki</t>
  </si>
  <si>
    <t>Jednostka organizacyjna realizująca zadanie lub koordynująca wykonanie zadania</t>
  </si>
  <si>
    <t>na rok budżetowy 2020</t>
  </si>
  <si>
    <t>z tego źródła finansowania:</t>
  </si>
  <si>
    <t>środki własne Województwa</t>
  </si>
  <si>
    <t>dotacje</t>
  </si>
  <si>
    <t>x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</si>
  <si>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</si>
  <si>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</si>
  <si>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</si>
  <si>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</si>
  <si>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Modernizacja dróg</t>
  </si>
  <si>
    <t>Zarząd Dróg Wojewódzkich w Bydgoszczy</t>
  </si>
  <si>
    <t>Wykup gruntu</t>
  </si>
  <si>
    <t>Drogowa Inicjatywa Samorządowa</t>
  </si>
  <si>
    <t>DIS - Ciąg pieszo-rowerowy wraz z oświetleniem i kanalizacją techniczną wzdłuż działek nr 196, 197, 198, 199 na działkach ew. nr 129, 250 i 251 położonych w obrębie nr 5 oraz utwardzenie zjazdu istniejącego z drogi wojewódzkiej na działce ew. nr 207 w Sępólnie Krajeńskim na działkach o nr ew. 129, 207, 250 i 251 - obręb 0005 Sępólno Krajeńskie</t>
  </si>
  <si>
    <t>Przebudowa mostu przez rzekę Krówkę w ciągu drogi wojewódzkiej Nr 243 w km 18+808 w m. Byszewo</t>
  </si>
  <si>
    <t>Przebudowa drogi wojewódzkiej Nr 251 od km 45+145 do km 46+800, odc. Młodocin-Pturek wraz z przebudową przepustu w km 46+216</t>
  </si>
  <si>
    <t>Zakupy inwestycyjne</t>
  </si>
  <si>
    <t>Modernizacja obiektu ZDW w Bydgoszczy ul. Dworcowa 80</t>
  </si>
  <si>
    <t>Poprawa bezpieczeństwa i komfortu życia mieszkańców oraz wsparcie niskoemisyjnego transportu drogowego poprzez wybudowanie dróg dla rowerów - przy drodze wojewódzkiej Nr 551 Wybcz-Nawra, Nawra-Bogusławki oraz Zelgno (lider: Chełmża)</t>
  </si>
  <si>
    <t>Modernizacja dróg wojewódzkich, grupa I - Kujawsko-pomorskiego planu spójności komunikacji drogowej i kolejowej 2014-2020</t>
  </si>
  <si>
    <t>Przebudowa wraz z rozbudową drogi wojewódzkiej Nr 269 Szczerkowo-Kowal od km 12+170 do km 28+898 oraz od km 33+622 do km 59+194 - przygotowanie inwestycji</t>
  </si>
  <si>
    <t>Zakup kserokopiarki</t>
  </si>
  <si>
    <t>Wydatki inwestycyjne</t>
  </si>
  <si>
    <t>Wsparcie dla Policji</t>
  </si>
  <si>
    <r>
      <rPr>
        <sz val="10"/>
        <rFont val="Times New Roman CE"/>
        <charset val="238"/>
      </rPr>
      <t>Zakup i instalacja klimatyzatorów do sal i pomieszczeń biurowych</t>
    </r>
    <r>
      <rPr>
        <i/>
        <sz val="10"/>
        <rFont val="Times New Roman CE"/>
        <charset val="238"/>
      </rPr>
      <t xml:space="preserve"> </t>
    </r>
  </si>
  <si>
    <t>Kujawsko-Pomorskie Centrum Edukacji Nauczycieli w Bydgoszczy</t>
  </si>
  <si>
    <t>85111</t>
  </si>
  <si>
    <t>Podniesienie jakości usług zdrowotnych oraz zwiększenie dostępu do usług medycznych w WSS we Włocławku - modernizacja pomieszczeń w budynkach szpitalnych</t>
  </si>
  <si>
    <t>Wojewódzki Szpital Specjalistyczny im. bł. ks. Jerzego Popiełuszki we Włocławku</t>
  </si>
  <si>
    <t>Podniesienie jakości usług zdrowotnych oraz zwiększenie dostępu do usług medycznych w WSS we Włocławku - zakup sprzętu i wyposażenia</t>
  </si>
  <si>
    <t>Podniesienie jakości usług zdrowotnych oraz zwiększenie dostępu do usług medycznych w Wojewódzkim Szpitalu Specjalistycznym we Włocławku - Zakup sprzętu medycznego dla pacjentów naczyniowo-sercowych</t>
  </si>
  <si>
    <t xml:space="preserve">85111
</t>
  </si>
  <si>
    <t>Zadania związane z zapobieganiem oraz zwalczaniem zakażenia wirusem SARS-CoV-2 i rozprzestrzenianiem się choroby zakaźnej wywołanej tym wirusem u ludzi  - Zakupy inwestycyjne</t>
  </si>
  <si>
    <t>Kujawsko-Pomorskie Centrum Pulmonologii w Bydgoszczy</t>
  </si>
  <si>
    <t>Wojewódzki Szpital Obserwacyjno-Zakaźny im. T. Browicza w Bydgoszczy</t>
  </si>
  <si>
    <t>Wojewódzki Szpital Zespolony im. L. Rydygiera w Toruniu</t>
  </si>
  <si>
    <t>Zadania związane ze zwalczaniem zakażenia, zapobieganiem rozprzestrzeniania się, profilaktyką oraz zwalczaniem skutków choroby zakaźnej wywołanej wirusem SARS-CoV-2 zwanej "COVID-19" - Zakupy inwestycyjne</t>
  </si>
  <si>
    <t>Rozbudowa instalacji tlenowej w Wojewódzkim Szpitalu Zespolonym im. L. Rydygiera w Toruniu</t>
  </si>
  <si>
    <t>Zapobieganie, przeciwdziałanie i zwalczanie zakażeń i choroby zakaźnej wywołanej wirusem SARS-CoV-2 zwanej "COVID-19" - zakupy inwestycyjne</t>
  </si>
  <si>
    <t>Finansowanie zadań związanych ze zwalczaniem zakażenia, zapobieganiem rozprzestrzenianiu się, profilaktyką oraz zwalczaniem skutków choroby zakaźnej wywołanej wirusem SARS-CoV-2, zwanej "COVID-19" - zakup aparatu Magna Pure 24 Roche</t>
  </si>
  <si>
    <t>85120</t>
  </si>
  <si>
    <t>Dostosowanie budynku do wymogów ppoż.</t>
  </si>
  <si>
    <t>Wojewódzki Szpital dla Nerwowo i Psychicznie Chorych w Świeciu</t>
  </si>
  <si>
    <t>85141</t>
  </si>
  <si>
    <t>85148</t>
  </si>
  <si>
    <t>Termomodernizacja budynku WOMP w Bydgoszczy</t>
  </si>
  <si>
    <t>Wojewódzki Ośrodek Medycyny Pracy w Bydgoszczy</t>
  </si>
  <si>
    <t>852</t>
  </si>
  <si>
    <t>85217</t>
  </si>
  <si>
    <t>Zakup i montaż nowego szlabanu na działce Ośrodka oraz przebudowa szlabanu na parkingu Ośrodka</t>
  </si>
  <si>
    <t>Regionalny Ośrodek Polityki Społecznej w Toruniu</t>
  </si>
  <si>
    <t>853</t>
  </si>
  <si>
    <t>85332</t>
  </si>
  <si>
    <t xml:space="preserve">Zakup rozszerzenia licencji oprogramowania pakietu biurowego </t>
  </si>
  <si>
    <t>Wojewódzki Urząd Pracy w Toruniu</t>
  </si>
  <si>
    <t>854</t>
  </si>
  <si>
    <t>EDUKACYJNA OPIEKA WYCHOWAWCZA</t>
  </si>
  <si>
    <t>85403</t>
  </si>
  <si>
    <t xml:space="preserve">Kujawsko-Pomorski Specjalny Ośrodek Szkolno-Wychowawczy nr 1 dla Dzieci i Młodzieży Słabo Widzącej i Niewidomej im. Louisa Braille'a w Bydgoszczy </t>
  </si>
  <si>
    <t>Modernizacja monitoringu</t>
  </si>
  <si>
    <t xml:space="preserve">Kujawsko-Pomorski Specjalny Ośrodek Szkolno-Wychowawczy nr 2 dla Dzieci i Młodzieży Słabo Słyszącej i Niesłyszącej im. gen. Stanisława Maczka w Bydgoszczy </t>
  </si>
  <si>
    <t>Kujawsko-Pomorski Specjalny Ośrodek Szkolno-Wychowawczy im. Janusza Korczaka w Toruniu</t>
  </si>
  <si>
    <t>85410</t>
  </si>
  <si>
    <t>Przyłączenie budynku internatu Kujawsko-Pomorskiego Centrum Zawodowego w Bydgoszczy do sieci gazowej</t>
  </si>
  <si>
    <t>Kujawsko-Pomorskie Centrum Kształcenia Zawodowego w Bydgoszczy</t>
  </si>
  <si>
    <t>921</t>
  </si>
  <si>
    <t>92106</t>
  </si>
  <si>
    <t>Modernizacja parteru widowni dużej sceny Teatru im. Wilama Horzycy w Toruniu</t>
  </si>
  <si>
    <t>Teatr im. W. Horzycy w Toruniu</t>
  </si>
  <si>
    <t>Wykonanie systemu wentylacji mechanicznej i klimatyzacji sali teatralnej, robót w zakresie termomodernizacji stolarki okiennej, drzwiowej i przegród zewnętrznych oraz modernizacji oświetlenia scenicznego</t>
  </si>
  <si>
    <t>Zakup zintegrowanego systemu finansowo-kadrowo-płacowego oraz oprogramowania do ewidencji środków trwałych</t>
  </si>
  <si>
    <t>Opera Nova w Bydgoszczy</t>
  </si>
  <si>
    <t>Rozbudowa Opery Nova w Bydgoszczy o IV krąg wraz z infrastrukturą parkingową - przygotowanie inwestycji</t>
  </si>
  <si>
    <t>Wykonanie projektu przebudowy świetlików dachowych nad salą Manru w budynku Opery Nova w Bydgoszczy</t>
  </si>
  <si>
    <t>92109</t>
  </si>
  <si>
    <t>Pałac Lubostroń w Lubostroniu</t>
  </si>
  <si>
    <t>Kujawsko-Pomorskie Centrum Kultury w Bydgoszczy</t>
  </si>
  <si>
    <t>92110</t>
  </si>
  <si>
    <t>Dostosowanie istniejących pomieszczeń sanitarnych dla potrzeb osób niepełnosprawnych w Galerii i Ośrodku Plastycznej Twórczości Dziecka w Toruniu</t>
  </si>
  <si>
    <t>Galeria i Ośrodek Plastycznej Twórczości Dziecka w Toruniu</t>
  </si>
  <si>
    <t>92116</t>
  </si>
  <si>
    <t xml:space="preserve">Zakupy inwestycyjne </t>
  </si>
  <si>
    <t>Wojewódzka i Miejska Biblioteka Publiczna w Bydgoszczy</t>
  </si>
  <si>
    <t>Wykonanie izolacji stropodachu w budynku Książnicy przy ul. Słowackiego 8</t>
  </si>
  <si>
    <t>Wojewódzka Biblioteka Publiczna - Książnica Kopernikańska w Toruniu</t>
  </si>
  <si>
    <t>Kultura cyfrowa - Kujawsko-pomorska prasa cyfrowa 1920</t>
  </si>
  <si>
    <t>Zakup wyposażenia na potrzeby Mediateki przy ul. Fałata 35</t>
  </si>
  <si>
    <t>92118</t>
  </si>
  <si>
    <t>Modernizacja sieci wodociągowej przeciwpożarowej na terenie Muzeum Etnograficznego w Toruniu</t>
  </si>
  <si>
    <t>Muzeum Etnograficzne w Toruniu</t>
  </si>
  <si>
    <t>Odbudowa-modernizacja rekonstrukcji wału obronnego z wieżą oraz pomostem</t>
  </si>
  <si>
    <t>Muzeum Archeologiczne w Biskupinie</t>
  </si>
  <si>
    <t>Wspieranie działań muzealnych - Wystawa stała "Archeologia w Biskupinie. Osada obronna na półwyspie"</t>
  </si>
  <si>
    <t>Infrastruktura kultury - Wyposażenie sali wystaw czasowych</t>
  </si>
  <si>
    <t>Wymiana nieszczelnego pieca CO w Muzeum Stanisława Noakowskiego w Nieszawie</t>
  </si>
  <si>
    <t>Muzeum Ziemi Kujawskiej i Dobrzyńskiej we Włocławku</t>
  </si>
  <si>
    <t>92195</t>
  </si>
  <si>
    <t>Budowa Pomnika Żołnierzy Wojsk Balonowych</t>
  </si>
  <si>
    <t>Budowa parkingu</t>
  </si>
  <si>
    <t>Park Pamięci Ofiar Zbrodni Pomorskiej 1939</t>
  </si>
  <si>
    <t>925</t>
  </si>
  <si>
    <t>92502</t>
  </si>
  <si>
    <t>Termomodernizacja siedziby Zespołu Parków Krajobrazowych nad Dolną Wisłą</t>
  </si>
  <si>
    <t>Zespół Parków Krajobrazowych nad Dolną Wisłą</t>
  </si>
  <si>
    <t>Prace dodatkowe i uzupełniające związane z modernizacją budynku w Dusocinie</t>
  </si>
  <si>
    <t>Zakupy inwestycyjne w ramach zadania "Parki krajobrazowe - pozostałe zadania z zakresu ochrony przyrody"</t>
  </si>
  <si>
    <t>926</t>
  </si>
  <si>
    <t>KULTURA FIZYCZNA</t>
  </si>
  <si>
    <t>92605</t>
  </si>
  <si>
    <t>Mała architektura i budowa infrastruktury sportowej przy obiektach edukacyjnych - wsparcie finansowe</t>
  </si>
  <si>
    <t>RAZEM</t>
  </si>
  <si>
    <t>II</t>
  </si>
  <si>
    <t>Inwestycje wieloletnie</t>
  </si>
  <si>
    <t>Budowa wiaduktów i przystanków kolejowych w bydgosko-toruńskim obszarze metropolitalnym - uzyskanie certyfikatów zgodności dla podsystemów i składników interoperacyjności WE w kolejnictwie</t>
  </si>
  <si>
    <t>2017-2020</t>
  </si>
  <si>
    <t>Modernizacja dróg wojewódzkich, grupa III - Kujawsko-pomorskiego planu spójności komunikacji drogowej i kolejowej 2014-2020</t>
  </si>
  <si>
    <t xml:space="preserve">Zarząd Dróg Wojewódzkich w Bydgoszczy </t>
  </si>
  <si>
    <t>Roboty dodatkowe i uzupełniające związane z realizacją inwestycji drogowych w ramach grupy I RPO</t>
  </si>
  <si>
    <t>2018-2021</t>
  </si>
  <si>
    <t xml:space="preserve">Przygotowanie dokumentacji na zadania drogowe planowane do realizacji w ramach Funduszu Dróg Samorządowych </t>
  </si>
  <si>
    <t>2019-2020</t>
  </si>
  <si>
    <t>Przygotowanie i realizacja zadań w ramach Funduszu Dróg Samorządowych</t>
  </si>
  <si>
    <t>2020-2024</t>
  </si>
  <si>
    <t>Budowa obwodnicy Więcborka - opracowanie studium techniczno-ekonomiczno-środowiskowego</t>
  </si>
  <si>
    <t>2019-2021</t>
  </si>
  <si>
    <t>Opracowanie dokumentacji projektowej dla rozbudowy skrzyżowania drogi wojewódzkiej Nr 241 Tuchola-Sępólno Krajeńskie-Rogoźno (ul. Kościuszki) z ul. Odrodzenia i ul. bł. ks. Jerzego Popiełuszki w m. Sępólno Krajeńskie</t>
  </si>
  <si>
    <t>Opracowanie dokumentacji projektowej dla rozbudowy drogi wojewódzkiej Nr 244 Kamieniec-Strzelce Dolne, m. Żołędowo, ul. Jastrzębia od km 30+068 do km 33+342, dł. 3,274 km</t>
  </si>
  <si>
    <t>Opracowanie dokumentacji dla sieci dróg wojewódzkich</t>
  </si>
  <si>
    <t>2016-2020</t>
  </si>
  <si>
    <t>Opracowanie dokumentacji projektowej dla przebudowy drogi wojewódzkiej Nr 301 Janowice-Tadzin-Bądkowo-Krotoszyn-Osięciny na odc. od km 2+290 do km 18+295,5 km oraz od km 18+892,5 do km 19+226, dł. 16,339 km</t>
  </si>
  <si>
    <t>Opracowanie Studium Techniczno-Ekonomiczno-Środowiskowego inwestycji pn. "Budowa obwodnicy Tucholi"</t>
  </si>
  <si>
    <t>2013-2020</t>
  </si>
  <si>
    <t>Przebudowa i rozbudowa drogi wojewódzkiej Nr 255 Pakość-Strzelno od km 0+005 do km 21+910. Etap II - Przebudowa drogi wojewódzkiej Nr 255 na odcinku od km 2+220 do km 21+910, dł. 19,690 km - przygotowanie inwestycji</t>
  </si>
  <si>
    <t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wsparcie finansowe</t>
  </si>
  <si>
    <t>2017-2022</t>
  </si>
  <si>
    <t>Modernizacja dróg na terenie Miasta Inowrocławia - wsparcie finansowe do 25 % wartości inwestycji przewidzianych do realizacji w ramach Funduszu Dróg Samorządowych - wsparcie finansowe</t>
  </si>
  <si>
    <t>Opracowanie dokumentacji Studium Techniczno-Ekonomiczno-Środowiskowego dla połączenia Miasta Bydgoszczy z węzłem drogowym na trasie szybkiego ruchu S5 i S10 w miejscowości Białe Błota - wsparcie finansowe</t>
  </si>
  <si>
    <t>2018-2020</t>
  </si>
  <si>
    <t>Modernizacja nieruchomości w Toruniu przy ul. Św. Jakuba 3-5, Wola Zamkowa 8-10, 10A i 12A (rozliczenie z użytkownikiem)</t>
  </si>
  <si>
    <t>2016-2031</t>
  </si>
  <si>
    <t>Nabycie nieruchomości położonej w Toruniu przy ul. Kopernika 4</t>
  </si>
  <si>
    <t>Dokumentacje projektowe</t>
  </si>
  <si>
    <t>2014-2020</t>
  </si>
  <si>
    <t>Kultura w zasięgu 2.0 - wkład własny wojewódzkich jednostek organizacyjnych</t>
  </si>
  <si>
    <t>Rozbudowa kampusu UTP w Bydgoszczy w Fordonie (partycypacja do 30 % wysokości dotacji ministerialnej)</t>
  </si>
  <si>
    <t>2018-2022</t>
  </si>
  <si>
    <t>Rozbudowa budynku Urzędu Marszałkowskiego</t>
  </si>
  <si>
    <t>2009-2021</t>
  </si>
  <si>
    <t>KPCEN we Włocławku - Rozbudowa budynku</t>
  </si>
  <si>
    <t>2020-2023</t>
  </si>
  <si>
    <t>Rozbudowa KPCEN we Włocławku - dokumentacja</t>
  </si>
  <si>
    <t>Zakup ambulansów w formie leasingu przez Wojewódzką Stację Pogotowia Ratunkowego w Bydgoszczy</t>
  </si>
  <si>
    <t>Wojewódzka Stacja Pogotowia Ratunkowego w Bydgoszczy</t>
  </si>
  <si>
    <t>900</t>
  </si>
  <si>
    <t>90005</t>
  </si>
  <si>
    <t>Przywrócenie równowagi ekologicznej na terenach gmin województwa kujawsko-pomorskiego w związku z budową autostrady A-1 w latach 2011-2015</t>
  </si>
  <si>
    <t>2011-2020</t>
  </si>
  <si>
    <t>90095</t>
  </si>
  <si>
    <t>2019-2029</t>
  </si>
  <si>
    <t>Przebudowa i remont konserwatorski budynku Pałacu Dąmbskich w Toruniu</t>
  </si>
  <si>
    <t>2015-2022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</si>
  <si>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</si>
  <si>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Modernizacja I i II balkonu w budynku głównym Teatru im. W. Horzycy w Toruniu</t>
  </si>
  <si>
    <t>92108</t>
  </si>
  <si>
    <t>Zakup sprzętu i wyposażenia dla Filharmonii Pomorskiej im. Ignacego Paderewskiego w Bydgoszczy</t>
  </si>
  <si>
    <t>Filharmonia Pomorska w Bydgoszczy</t>
  </si>
  <si>
    <t>Rozbudowa i remont Filharmonii Pomorskiej w Bydgoszczy - przygotowanie dokumentacji</t>
  </si>
  <si>
    <t>Termomodernizacja zabytkowego budynku stajni-wozowni w Lubostroniu na potrzeby użytku publicznego</t>
  </si>
  <si>
    <t>Rewaloryzacja i adaptacja zabytkowego spichlerza dworskiego w Kłóbce</t>
  </si>
  <si>
    <t>2020-2021</t>
  </si>
  <si>
    <t>III</t>
  </si>
  <si>
    <t>Inwestycje ujęte w Regionalnym Programie Operacyjnym Województwa Kujawsko-Pomorskiego 2014-2020</t>
  </si>
  <si>
    <t xml:space="preserve">              </t>
  </si>
  <si>
    <t>IV</t>
  </si>
  <si>
    <t>Pozostałe projekty i działania realizowane ze środków zagranicznych</t>
  </si>
  <si>
    <t>V</t>
  </si>
  <si>
    <t>Inwestycje realizowane w ramach Regionalnego Programu Operacyjnego Województwa Kujawsko-Pomorskiego 2007-2013</t>
  </si>
  <si>
    <t>Gospodarka odpadami, Działanie 2.2</t>
  </si>
  <si>
    <r>
      <rPr>
        <sz val="10"/>
        <rFont val="Times New Roman"/>
        <family val="1"/>
        <charset val="238"/>
      </rPr>
      <t xml:space="preserve">W załączniku </t>
    </r>
    <r>
      <rPr>
        <b/>
        <sz val="10"/>
        <rFont val="Times New Roman"/>
        <family val="1"/>
        <charset val="238"/>
      </rPr>
      <t>nr 10 "Zadania z zakresu administracji rządowej zlecone ustawami Samorządowi Województwa. Plan na 2020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XII/262/19 Sejmiku Województwa Kujawsko-Pomorskiego z dnia 16 grudnia 2019 roku w sprawie budżetu województwa na rok 2020                                    (z późn. zm.), wprowadza się następujące zmiany:</t>
    </r>
  </si>
  <si>
    <t>Cześć A załącznika</t>
  </si>
  <si>
    <t xml:space="preserve">Dział Rozdział
 </t>
  </si>
  <si>
    <t>Wyszczególnienie</t>
  </si>
  <si>
    <t>Plan dochodów</t>
  </si>
  <si>
    <t>Plan wydatków</t>
  </si>
  <si>
    <t>Dotacje Budżetu Państwa</t>
  </si>
  <si>
    <t>Fundusze celowe</t>
  </si>
  <si>
    <t>Środki własne</t>
  </si>
  <si>
    <t>ZADANIE - SZKODY ŁOWIECKIE</t>
  </si>
  <si>
    <t>Dotacje na zadania bieżące</t>
  </si>
  <si>
    <t>ZADANIE - RYBACTWO ŚRÓDLĄDOWE</t>
  </si>
  <si>
    <t>ZADANIE - KRAJOWE PASAŻERSKIE PRZEWOZY AUTOBUSOWE</t>
  </si>
  <si>
    <t xml:space="preserve">Dotacje celowe </t>
  </si>
  <si>
    <t>ZADANIE - UPRAWNIENIA KOMUNIKACYJNE</t>
  </si>
  <si>
    <t>Pozostałe wydatki bieżące</t>
  </si>
  <si>
    <t>ZADANIE - USŁUGI TURYSTYCZNE</t>
  </si>
  <si>
    <t>ZADANIE - PRACE GEOLOGICZNE</t>
  </si>
  <si>
    <t>ZADANIE - PRACE GEODEZYJNE I KARTOGRAFICZNE</t>
  </si>
  <si>
    <t>ZADANIE - OBSŁUGA KUJAWSKO-POMORSKIEJ RADY DIALOGU SPOŁECZNEGO</t>
  </si>
  <si>
    <t>ZADANIE - OBRONA NARODOWA</t>
  </si>
  <si>
    <t>80153</t>
  </si>
  <si>
    <t>ZADANIE - WYPOSAŻENIE SZKÓŁ W PODRĘCZNIKI, MATERIAŁY EDUKACYJNE I MATERIAŁY ĆWICZENIOWE</t>
  </si>
  <si>
    <t>ZADANIE – ROZBUDOWA INSTALACJI TLENOWEJ W WOJEWÓDZKIM SZPITALU ZESPOLONYM IM. L. RYDYGIERA W TORUNIU</t>
  </si>
  <si>
    <t>ZADANIE - ROZBUDOWA INSTALACJI TLENOWEJ W WOJEWÓDZKIM SZPITALU ZESPOLONYM IM. L. RYDYGIERA W TORUNIU</t>
  </si>
  <si>
    <t>Dotacje na zadania inwestycyjne</t>
  </si>
  <si>
    <t>Dotacje celowe na inwestycje</t>
  </si>
  <si>
    <t xml:space="preserve">ZADANIE - ZADANIA ZWIĄZANE Z ZAPOBIEGANIEM ORAZ ZWALCZANIEM ZAKAŻENIA WIRUSEM SARS-COV-2 I ROZPRZESTRZENIANIEM SIĘ CHOROBY ZAKAŹNEJ WYWOŁANEJ TYM WIRUSEM U LUDZI </t>
  </si>
  <si>
    <t>ZADANIE - ZADANIA ZWIĄZANE Z ZAPOBIEGANIEM ORAZ ZWALCZANIEM ZAKAŻENIA WIRUSEM SARS-COV-2 I ROZPRZESTRZENIANIEM SIĘ CHOROBY ZAKAŹNEJ WYWOŁANEJ TYM WIRUSEM U LUDZI</t>
  </si>
  <si>
    <t>Dotacje celowe</t>
  </si>
  <si>
    <t>Dotacje na zadania zadania inwestycyjne</t>
  </si>
  <si>
    <t>85156</t>
  </si>
  <si>
    <t>ZADANIE - UBEZPIECZENIE ZDROWOTNE UCZNIÓW</t>
  </si>
  <si>
    <t>85195</t>
  </si>
  <si>
    <t>ZADANIE - OCHRONA ZDROWIA PSYCHICZNEGO</t>
  </si>
  <si>
    <t>ZADANIE - SŁUŻBA ZASTĘPCZA</t>
  </si>
  <si>
    <t>855</t>
  </si>
  <si>
    <t>85509</t>
  </si>
  <si>
    <t>ZADANIE - GRANTY - WSPIERANIE DZIAŁAŃ Z ZAKRESU OPIEKI ADOPCYJNO-OPIEKUŃCZEJ</t>
  </si>
  <si>
    <t>ZADANIE - KUJAWSKO-POMORSKI OŚRODEK ADOPCYJNY W TORUNIU - UTRZYMANIE JEDNOSTKI</t>
  </si>
  <si>
    <t>ZADANIE - PROGRAMY OCHRONY POWIETRZA</t>
  </si>
  <si>
    <t>90007</t>
  </si>
  <si>
    <t>ZADANIE - PROGRAMY OCHRONY PRZED HAŁASEM</t>
  </si>
  <si>
    <t>ZADANIE - OCHRONA ŚRODOWISKA</t>
  </si>
  <si>
    <t>wynagrodzenia z pochodnymi</t>
  </si>
  <si>
    <t>wydatki bieżące</t>
  </si>
  <si>
    <t>dotacje celowe</t>
  </si>
  <si>
    <t>dotacje celowe na inwestycje</t>
  </si>
  <si>
    <t xml:space="preserve">Plan dochodów uzyskiwanych w realizacji zadań zleconych </t>
  </si>
  <si>
    <t>z zakresu administracji rządowej na 2020 rok</t>
  </si>
  <si>
    <t>Cześć B załącznika</t>
  </si>
  <si>
    <t>Dział           Rozdział
§</t>
  </si>
  <si>
    <t>Zadanie</t>
  </si>
  <si>
    <t>w tym należne do:</t>
  </si>
  <si>
    <t>Budżetu Państwa</t>
  </si>
  <si>
    <t>Budżetu Województwa</t>
  </si>
  <si>
    <t>4a</t>
  </si>
  <si>
    <t>4b</t>
  </si>
  <si>
    <t>Opłaty z tytułu wydawania zaświadczeń ADR i ich wtórników</t>
  </si>
  <si>
    <t>0690</t>
  </si>
  <si>
    <t>Wpływy z różnych opłat</t>
  </si>
  <si>
    <t>Opłaty związane z zaszeregowaniem obiektu hotelarskiego do określonego rodzaju i kategorii</t>
  </si>
  <si>
    <t>Wynagrodzenie z tytułu ustanowienia użytkowania górniczego</t>
  </si>
  <si>
    <t>0970</t>
  </si>
  <si>
    <t>Wpływy z różnych dochodów</t>
  </si>
  <si>
    <t>75046</t>
  </si>
  <si>
    <t>Opłaty za przeprowadzenie egzaminu w zakresie gospodarowania odpadami</t>
  </si>
  <si>
    <t>zmiana z: Kujawsko-Pomorski Impresaryjny Teatr Muzyczny w Toruniu na: Kujawsko-Pomorski Teatr Muzyczny w Toruniu</t>
  </si>
  <si>
    <t xml:space="preserve">Nadbudowa i rozbudowa dawnego budynku kinoteatru Grunwald usytuowanego przy ul. Warszawskiej 11 w Toruniu z przeznaczeniem na teatr - Utworzenie "DUŻEJ SCENY" Kujawsko-Pomorskiego Impresaryjnego Teatru Muzycznego w Toruniu </t>
  </si>
  <si>
    <t>Ośrodek Chopinowski w Szafarni</t>
  </si>
  <si>
    <t>Kujawsko-Pomorski Teatr Muzyczny w Toruniu</t>
  </si>
  <si>
    <t>Droga do Nowoczesności - przebudowa i rozbudowa kompleksu budynków Wojewódzkiej i Miejskiej Biblioteki Publicznej im. dr Witolda Bełzy w Bydgoszczy</t>
  </si>
  <si>
    <t>Staże i specjalizacje medyczne</t>
  </si>
  <si>
    <t xml:space="preserve"> </t>
  </si>
  <si>
    <t>Nagrody konkursowe</t>
  </si>
  <si>
    <t>Zakup usług pozostałych</t>
  </si>
  <si>
    <t>Kary i odszkodowania wypłacane na rzecz osób fizycznych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</si>
  <si>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</si>
  <si>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</si>
  <si>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</si>
  <si>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</si>
  <si>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</si>
  <si>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</si>
  <si>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środków żywności</t>
  </si>
  <si>
    <t>Zakup energii</t>
  </si>
  <si>
    <t>Zakup usług remontowych</t>
  </si>
  <si>
    <t>Opłaty z tytułu zakupu usług telekomunikacyjnych</t>
  </si>
  <si>
    <t>Opłaty za administrowanie i czynsze za budynki, lokale i pomieszczenia garażowe</t>
  </si>
  <si>
    <t>Podróże służbowe krajowe</t>
  </si>
  <si>
    <t>Podróże służbowe zagraniczne</t>
  </si>
  <si>
    <t>Różne opłaty i składki</t>
  </si>
  <si>
    <t xml:space="preserve">Szkolenia pracowników niebędących członkami korpusu służby cywilnej </t>
  </si>
  <si>
    <t>Rozwój przedsiębiorczości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</si>
  <si>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</si>
  <si>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</si>
  <si>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Zwrot dotacji oraz płatności wykorzystanych niezgodnie z przeznaczeniem lub wykorzystanych z naruszeniem procedur, o których mowa w art. 184 ustawy, pobranych nienależnie lub w nadmiernej wysokości</t>
  </si>
  <si>
    <t>Wydatki inwestycyjne jednostek budżetowych</t>
  </si>
  <si>
    <t>Wydatki na zakupy inwestycyjne jednostek budżetowych</t>
  </si>
  <si>
    <t>Wydatki na zakup i objęcie akcji i udziałów</t>
  </si>
  <si>
    <t>Dopłaty w spółkach prawa handlowego</t>
  </si>
  <si>
    <t xml:space="preserve">Różne wydatki na rzecz osób fizycznych </t>
  </si>
  <si>
    <t>Zakup usług obejmujących wykonanie ekspertyz, analiz i opinii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</si>
  <si>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</si>
  <si>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Nagrody o charakterze szczególnym niezaliczone do wynagrodzeń</t>
  </si>
  <si>
    <t>Obsługa papierów wartościowych, kredytów i pożyczek oraz innych zobowiązań jednostek samorządu terytorialnego zaliczanych do tytułu dłużnego " kredyty i pożyczki</t>
  </si>
  <si>
    <t>Odsetki od samorządowych papierów wartościowych lub zaciągniętych przez jednostkę samorządu terytorialnego kredytów i pożyczek</t>
  </si>
  <si>
    <t>Wypłaty z tytułu zagranicznych poręczeń i gwarancji</t>
  </si>
  <si>
    <t>Wydatki osobowe niezaliczone do wynagrodzeń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</si>
  <si>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</si>
  <si>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</si>
  <si>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na finansowanie lub dofinansowanie kosztów realizacji inwestycji i zakupów inwestycyjnych innych jednostek sektora finansów publicznych</t>
  </si>
  <si>
    <t>Dotacja celowa przekazana z budżetu jednostki samorządu terytorialnego na dofinansowanie realizacji zadań w zakresie programów polityki zdrowotnej</t>
  </si>
  <si>
    <t>Dotacja celowa z budżetu dla pozostałych jednostek zaliczanych do sektora finansów publicznych</t>
  </si>
  <si>
    <t>Zakup usług zdrowotnych</t>
  </si>
  <si>
    <t>Zwrot niewykorzystanych dotacji oraz płatności</t>
  </si>
  <si>
    <t>Zwroty niewykorzystanych dotacji oraz płatności, dotyczące wydatków majątkowych</t>
  </si>
  <si>
    <t>Dotacja celowa przekazana gminie na zadania bieżące realizowane na podstawie porozumień (umów) między jednostkami samorządu terytorialnego</t>
  </si>
  <si>
    <t>Dotacja celowa przekazana dla powiatu na zadania bieżące realizowane na podstawie porozumień (umów) między jednostkami samorządu terytorialnego</t>
  </si>
  <si>
    <t>Odpisy na zakładowy fundusz świadczeń socjalnych</t>
  </si>
  <si>
    <t>Dotacja celowa na pomoc finansową udzielaną między jednostkami samorządu terytorialnego na dofinansowanie własnych zadań inwestycyjnych i zakupów inwestycyjnych</t>
  </si>
  <si>
    <t xml:space="preserve">Teatry </t>
  </si>
  <si>
    <t>Dotacja podmiotowa z budżetu dla samorządowej instytucji kultury</t>
  </si>
  <si>
    <t>Dotacja celowa z budżetu na finansowanie lub dofinansowanie prac remontowych i konserwatorskich obiektów zabytkowych przekazane jednostkom niezaliczanym do sektora finansów publicznych</t>
  </si>
  <si>
    <t>Dotacja celowa na pomoc finansową udzielaną między jednostkami samorządu terytorialnego na dofinansowanie własnych zadań bieżących</t>
  </si>
  <si>
    <t>Zakup usług obejmujących tłumaczenia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</si>
  <si>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</si>
  <si>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Rozszerzenie funkcjonalności teatralno-estradowej poprzez rozbudowę i doposażenie dawnego budynku kinoteatru Grunwald - przygotowanie dokumentacji</t>
  </si>
  <si>
    <t>Załącznik nr 1 do uchwały</t>
  </si>
  <si>
    <r>
      <t xml:space="preserve">W załączniku </t>
    </r>
    <r>
      <rPr>
        <b/>
        <sz val="10"/>
        <rFont val="Times New Roman"/>
        <family val="1"/>
        <charset val="238"/>
      </rPr>
      <t>Nr 1 "Dochody budżetu Województwa Kujawsko-Pomorskiego wg źródeł pochodzenia. Plan na rok 2020"</t>
    </r>
    <r>
      <rPr>
        <sz val="10"/>
        <rFont val="Times New Roman"/>
        <family val="1"/>
        <charset val="238"/>
      </rPr>
      <t xml:space="preserve"> do uchwały Nr XII/262/19 Sejmiku Województwa Kujawsko-Pomorskiego z dnia 16 grudnia 2019 r. w sprawie budżetu województwa na rok 2020  (z późn. zm.), wprowadza się następujące zmiany: </t>
    </r>
  </si>
  <si>
    <t>Udziały 
w podatkach
 i   
subwencje</t>
  </si>
  <si>
    <t>Pozostałe dochody własne uzyskiwane  przez Województwo i jednostki budżetowe</t>
  </si>
  <si>
    <t>Dotacje i środki na finansowanie:</t>
  </si>
  <si>
    <t xml:space="preserve"> zadań z udziałem środków z budżetu Unii Europejskiej i innych źródeł zagranicznych</t>
  </si>
  <si>
    <t>zadań pozostałych</t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</si>
  <si>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europejskich</t>
    </r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</si>
  <si>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krajowych</t>
    </r>
  </si>
  <si>
    <t>od jednostek  samorządu  terytorialnego</t>
  </si>
  <si>
    <t>z funduszy celowych</t>
  </si>
  <si>
    <t xml:space="preserve"> z innych źródeł zagranicznych</t>
  </si>
  <si>
    <t>z
pozostałych
źródeł</t>
  </si>
  <si>
    <t xml:space="preserve">z budżetu państwa </t>
  </si>
  <si>
    <t>na finansowanie części unijnej</t>
  </si>
  <si>
    <t>na finansowanie części krajowej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</si>
  <si>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</si>
  <si>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</si>
  <si>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</si>
  <si>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</si>
  <si>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</si>
  <si>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</si>
  <si>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</si>
  <si>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</si>
  <si>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</si>
  <si>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</si>
  <si>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</si>
  <si>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</si>
  <si>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</si>
  <si>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</si>
  <si>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</si>
  <si>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</si>
  <si>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</si>
  <si>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</si>
  <si>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</si>
  <si>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</si>
  <si>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POZOSTAŁE  ZADANIA W ZAKRESIE POLITYKI SPOŁECZNEJ</t>
  </si>
  <si>
    <t>DOCHODY MAJĄTKOWE</t>
  </si>
  <si>
    <t>o g ó ł e m :</t>
  </si>
  <si>
    <t xml:space="preserve"> - plan na 2020 r.</t>
  </si>
  <si>
    <t xml:space="preserve"> - saldo zmian </t>
  </si>
  <si>
    <t xml:space="preserve"> - plan po zmianach</t>
  </si>
  <si>
    <t xml:space="preserve">Nr   /     /20 Sejmiku Województwa </t>
  </si>
  <si>
    <t xml:space="preserve">z dnia   .12.2020 r.       </t>
  </si>
  <si>
    <t xml:space="preserve">Nr       /      /20 Sejmiku Województwa </t>
  </si>
  <si>
    <t xml:space="preserve">z dnia       .12.2020 r. </t>
  </si>
  <si>
    <r>
      <t xml:space="preserve">W załączniku </t>
    </r>
    <r>
      <rPr>
        <b/>
        <sz val="10"/>
        <color indexed="8"/>
        <rFont val="Times New Roman"/>
        <family val="1"/>
        <charset val="238"/>
      </rPr>
      <t>Nr 2 "Dochody budżetu Województwa Kujawsko-Pomorskiego wg klasyfikacji budżetowej. Plan na 2020 rok"</t>
    </r>
    <r>
      <rPr>
        <sz val="10"/>
        <color indexed="8"/>
        <rFont val="Times New Roman"/>
        <family val="1"/>
        <charset val="238"/>
      </rPr>
      <t xml:space="preserve"> do uchwały                         Nr XII/262/19 Sejmiku Województwa Kujawsko-Pomorskiego z dnia 16 grudnia 2019 r. w sprawie budżetu województwa na rok 2020  (z późn. zm.), wprowadza się następujące zmiany:</t>
    </r>
  </si>
  <si>
    <t xml:space="preserve">Dział Rozdział </t>
  </si>
  <si>
    <t>Plan na 2020 r.</t>
  </si>
  <si>
    <t xml:space="preserve">Zwiększenie </t>
  </si>
  <si>
    <t>Plan po zmianach</t>
  </si>
  <si>
    <t>1.</t>
  </si>
  <si>
    <t>2.</t>
  </si>
  <si>
    <t>3.</t>
  </si>
  <si>
    <t>4.</t>
  </si>
  <si>
    <t>5.</t>
  </si>
  <si>
    <t>6.</t>
  </si>
  <si>
    <t>7.</t>
  </si>
  <si>
    <t>DOCHODY OGÓŁEM</t>
  </si>
  <si>
    <t>0910</t>
  </si>
  <si>
    <t>Wpływy z odsetek od nieterminowych wpłat z tytułu podatków i opłat</t>
  </si>
  <si>
    <t>Dotacja celowa otrzymana z budżetu państwa na zadania bieżące z zakresu administracji rządowej oraz inne zadania zlecone ustawami realizowane przez samorząd województwa</t>
  </si>
  <si>
    <t>Wpływy ze zwrotów dotacji oraz płatności wykorzystanych niezgodnie z przeznaczeniem lub wykorzystanych z naruszeniem procedur, o których mowa w art. 184 ustawy, pobranych nienależnie lub w nadmiernej wysokości, dotyczące dochodów majątkowych</t>
  </si>
  <si>
    <t>Wpływy ze zwrotów dotacji oraz płatności wykorzystanych niezgodnie z przeznaczeniem lub wykorzystanych z naruszeniem procedur, o których mowa w art. 184 ustawy, pobranych nienależnie lub w nadmiernej wysokości</t>
  </si>
  <si>
    <t>Dotacja celowa otrzymana z tytułu pomocy finansowej udzielanej między jednostkami samorządu terytorialnego na dofinansowanie własnych zadań inwestycyjnych i zakupów inwestycyjnych</t>
  </si>
  <si>
    <t>0940</t>
  </si>
  <si>
    <t>Wpływy z rozliczeń/zwrotów z lat ubiegłych</t>
  </si>
  <si>
    <t>Dochody jednostek samorządu terytorialnego związane z realizacją zadań z zakresu administracji rządowej oraz innych zadań zleconych ustawami</t>
  </si>
  <si>
    <t>DOCHODY OD OSÓB PRAWNYCH, OD OSÓB FIZYCZNYCH I OD INNYCH JEDNOSTEK NIEPOSIADAJĄCYCH OSOBOWOŚCI PRAWNEJ ORAZ WYDATKI ZWIĄZANE Z ICH POBOREM</t>
  </si>
  <si>
    <t>Udziały województw w podatkach stanowiących dochód budżetu państwa</t>
  </si>
  <si>
    <t>0010</t>
  </si>
  <si>
    <t>Wpływy z podatku dochodowego od osób fizycznych</t>
  </si>
  <si>
    <t>Część oświatowa subwencji ogólnej dla jednostek samorządu terytorialnego</t>
  </si>
  <si>
    <t>Subwencje ogólne z budżetu państwa</t>
  </si>
  <si>
    <t>Różne rozliczenia finansowe</t>
  </si>
  <si>
    <t>0920</t>
  </si>
  <si>
    <t>Wpływy z pozostałych odsetek</t>
  </si>
  <si>
    <t>Wpłata środków finansowych z niewykorzystanych w terminie wydatków, które nie wygasają z upływem roku budżetowego</t>
  </si>
  <si>
    <t>Część regionalna subwencji ogólnej dla województw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</si>
  <si>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</si>
  <si>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</si>
  <si>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</si>
  <si>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Regionalne Programy Operacyjne 2014-2020 finansowane z udziałem środków Europejskiego Funduszu Społecznego</t>
  </si>
  <si>
    <t>Dotacja celowa otrzymana z gminy na zadania bieżące realizowane na podstawie porozumień (umów) między jednostkami samorządu terytorialnego</t>
  </si>
  <si>
    <t>Dotacja celowa otrzymana z powiatu na zadania bieżące realizowane na podstawie porozumień (umów) między jednostkami samorządu terytorialnego</t>
  </si>
  <si>
    <t>Dotacja celowa otrzymana z budżetu państwa na inwestycje i zakupy inwestycyjne z zakresu administracji rządowej oraz inne zadania zlecone ustawami realizowane przez samorząd województwa</t>
  </si>
  <si>
    <t>Wpływy ze zwrotów niewykorzystanych dotacji oraz płatności</t>
  </si>
  <si>
    <t>Wpływy ze zwrotów niewykorzystanych dotacji oraz płatności, dotyczące dochodów majątkowych</t>
  </si>
  <si>
    <t>0240</t>
  </si>
  <si>
    <t>Wpływy z opłaty recyklingowej</t>
  </si>
  <si>
    <t>Załącznik nr 2 do uchwały</t>
  </si>
  <si>
    <t>Nr  /    /20 Sejmiku Województwa</t>
  </si>
  <si>
    <t>z dnia   .12.2020 r.</t>
  </si>
  <si>
    <t>Nr  /    /20 Sejmiku Zarządu Województwa</t>
  </si>
  <si>
    <t>z dnia    .12.2020 r.</t>
  </si>
  <si>
    <t xml:space="preserve">Załącznik nr 5 do uchwały </t>
  </si>
  <si>
    <t xml:space="preserve">Nr         /        /20 Sejmiku Województwa </t>
  </si>
  <si>
    <r>
      <t xml:space="preserve">W załączniku nr 5 </t>
    </r>
    <r>
      <rPr>
        <b/>
        <sz val="10"/>
        <rFont val="Times New Roman CE"/>
        <charset val="238"/>
      </rPr>
      <t xml:space="preserve">"Wynik budżetowy i finansowy. Plan na 2020 rok" </t>
    </r>
    <r>
      <rPr>
        <sz val="10"/>
        <rFont val="Times New Roman CE"/>
        <charset val="238"/>
      </rPr>
      <t>do uchwały Nr XII/262/19 Sejmiku Województwa Kujawsko-Pomorskiego z dnia 16 grudnia 2019 r. w sprawie budżetu województwa na rok 2020 (z późn.zm.), wprowadza się następujące zmiany:</t>
    </r>
  </si>
  <si>
    <t>Lp.</t>
  </si>
  <si>
    <t xml:space="preserve">Zmiana </t>
  </si>
  <si>
    <t>Dochody</t>
  </si>
  <si>
    <t>1.1</t>
  </si>
  <si>
    <t>dochody bieżące</t>
  </si>
  <si>
    <t>1.2</t>
  </si>
  <si>
    <t>dochody majątkowe</t>
  </si>
  <si>
    <t>Przychody</t>
  </si>
  <si>
    <t>2.1</t>
  </si>
  <si>
    <t>Kredyt krajowy</t>
  </si>
  <si>
    <t>2.1.1</t>
  </si>
  <si>
    <t>Kredyt na spłatę zaciągniętych kredytów</t>
  </si>
  <si>
    <t>2.1.2</t>
  </si>
  <si>
    <t>Kredyt na sfinansowanie planowanego deficytu budżetowego</t>
  </si>
  <si>
    <t>2.2</t>
  </si>
  <si>
    <t>Wolne środki z lat ubiegłych</t>
  </si>
  <si>
    <t>Niewykorzystane środki pieniężne, o których mowa w art. 217 ust. 2 pkt 8 ustawy o finansach publicznych</t>
  </si>
  <si>
    <t>2.2.1</t>
  </si>
  <si>
    <t>wynikające z rozliczenia dochodów i wydatków nimi finansowanych związanych ze szczególnymi zasadami wykonywania budżetu określonymi w odrębnych ustawach</t>
  </si>
  <si>
    <t>2.2.2</t>
  </si>
  <si>
    <t>wynikające z rozliczenia środków określonych w art.5 ust. 1 pkt 2 ustawy i dotacji na realizację programu, projektu lub zadania finansowanego z udziałem tych środków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</si>
  <si>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</si>
  <si>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</si>
  <si>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</si>
  <si>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</si>
  <si>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</si>
  <si>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</si>
  <si>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</si>
  <si>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</si>
  <si>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</si>
  <si>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</si>
  <si>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</si>
  <si>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</si>
  <si>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</si>
  <si>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</si>
  <si>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</si>
  <si>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</si>
  <si>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</si>
  <si>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</si>
  <si>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Kredyty bankowe</t>
  </si>
  <si>
    <t>9.2</t>
  </si>
  <si>
    <t>9.2.1</t>
  </si>
  <si>
    <t>9.2.2</t>
  </si>
  <si>
    <t>wynikające z rozliczenia środków określonych w art. 5 ust. 1 pkt 2 ustawy i dotacji na realizację programu, projektu lub zadania finansowanego z udziałem tych środków</t>
  </si>
  <si>
    <t>9.4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</si>
  <si>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</si>
  <si>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</si>
  <si>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</si>
  <si>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</si>
  <si>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</si>
  <si>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</si>
  <si>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</si>
  <si>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</si>
  <si>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</si>
  <si>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</si>
  <si>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</si>
  <si>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</si>
  <si>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</si>
  <si>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>Wynik finansowy budżetu</t>
  </si>
  <si>
    <t>z dnia     .12.2020 r.</t>
  </si>
  <si>
    <t xml:space="preserve">Załącznik nr 6 do uchwały </t>
  </si>
  <si>
    <r>
      <rPr>
        <sz val="16"/>
        <rFont val="Times New Roman CE"/>
        <charset val="238"/>
      </rPr>
      <t>W załączniku nr 6 pn</t>
    </r>
    <r>
      <rPr>
        <b/>
        <sz val="16"/>
        <rFont val="Times New Roman CE"/>
        <charset val="238"/>
      </rPr>
      <t xml:space="preserve">. "Projekty i działania realizowane w ramach Regionalnego Programu Operacyjnego Województwa Kujawsko-Pomorskiego 2014-2020.  Plan na 2020 rok" </t>
    </r>
    <r>
      <rPr>
        <sz val="16"/>
        <rFont val="Times New Roman CE"/>
        <charset val="238"/>
      </rPr>
      <t xml:space="preserve">do uchwały Nr XII/262/19 Sejmiku Województwa Kujawsko-Pomorskiego 
z dnia 16 grudnia 2019 r.  w sprawie budżetu województwa na rok 2020 (z późn. zm.) wprowadza się następujące zmiany: </t>
    </r>
  </si>
  <si>
    <t>L.p.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</si>
  <si>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</si>
  <si>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</si>
  <si>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</si>
  <si>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</si>
  <si>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</si>
  <si>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Wydatki całkowite
na lata 2014-2023 w tym:</t>
  </si>
  <si>
    <t>Przewidywane wykonanie do końca 2019 r.</t>
  </si>
  <si>
    <t>Wydatki 2020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</si>
  <si>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</si>
  <si>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</si>
  <si>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</si>
  <si>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</si>
  <si>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</si>
  <si>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</si>
  <si>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</si>
  <si>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</si>
  <si>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</si>
  <si>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 xml:space="preserve">Bieżące </t>
  </si>
  <si>
    <t>Inwestycyjne</t>
  </si>
  <si>
    <t>Bieżące</t>
  </si>
  <si>
    <t>Ogólem</t>
  </si>
  <si>
    <t>8a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</si>
  <si>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</si>
  <si>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</si>
  <si>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</si>
  <si>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</si>
  <si>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</si>
  <si>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</si>
  <si>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</si>
  <si>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1.5.2</t>
  </si>
  <si>
    <t>066</t>
  </si>
  <si>
    <t>Invest in BiT CITY 2. Promocja potencjału gospodarczego oraz promocja atrakcyjności inwestycyjnej miast prezydenckich województwa kujawsko-pomorskiego</t>
  </si>
  <si>
    <t xml:space="preserve">Urząd Marszałkowski w Toruniu </t>
  </si>
  <si>
    <t>750
75075</t>
  </si>
  <si>
    <t>2016 - 2023</t>
  </si>
  <si>
    <t>Expressway - promocja terenów inwestycyjnych</t>
  </si>
  <si>
    <t>Kujawy + Pomorze - promocja potencjału gospodarczego regionu</t>
  </si>
  <si>
    <t>2018 - 2020</t>
  </si>
  <si>
    <t>Wsparcie umiędzynarodowienia kujawsko-pomorskich MŚP oraz promocja potencjału gospodarczego regionu</t>
  </si>
  <si>
    <t>2018 - 2021</t>
  </si>
  <si>
    <t>1.6.2</t>
  </si>
  <si>
    <t>069</t>
  </si>
  <si>
    <t>Granty na kapitał obrotowy dla mikro i małych przedsiębiorstw w branży gastronomicznej oraz fitness w związku z wystąpieniem stanu epidemii COVID-19</t>
  </si>
  <si>
    <t>150
15011</t>
  </si>
  <si>
    <t>078, 081, 101</t>
  </si>
  <si>
    <t>Infostrada Kujaw i Pomorza 2.0</t>
  </si>
  <si>
    <t>720
72095</t>
  </si>
  <si>
    <t>Budowa kujawsko-pomorskiego systemu udostępniania elektronicznej dokumentacji medycznej - I etap</t>
  </si>
  <si>
    <t>Budowa kujawsko-pomorskiego systemu udostępniania elektronicznej dokumentacji medycznej - II etap</t>
  </si>
  <si>
    <t>2018 - 2022</t>
  </si>
  <si>
    <t>079, 101</t>
  </si>
  <si>
    <t>Kultura w zasięgu 2.0</t>
  </si>
  <si>
    <t>3.3</t>
  </si>
  <si>
    <t>013</t>
  </si>
  <si>
    <t>Termomodernizacja obiektów użyteczności publicznej: budynek Regionalnego Ośrodka Polityki Społecznej w Toruniu</t>
  </si>
  <si>
    <t>ROPS 
w Toruniu</t>
  </si>
  <si>
    <t>852
85217</t>
  </si>
  <si>
    <t>2019 - 2021</t>
  </si>
  <si>
    <t>3.4</t>
  </si>
  <si>
    <t>090</t>
  </si>
  <si>
    <t>Przebudowa wraz z rozbudową drogi wojewódzkiej Nr 265 Brześć Kujawski-Gostynin od km 0+003 do km 19+117 w zakresie dotyczącym budowy ciągów pieszo-rowerowych</t>
  </si>
  <si>
    <t>ZDW 
w Bydgoszczy</t>
  </si>
  <si>
    <t>600                 60013</t>
  </si>
  <si>
    <t>2017 - 2021</t>
  </si>
  <si>
    <t>Ograniczenie emisji spalin poprzez budowę ścieżki rowerowo-pieszej przy drodze wojewódzkiej nr 269 od Powiatowego Centrum Kształcenia Zawodowego w Chodczu do istniejącego odcinka w granicach administracyjnych Miasta Chodecz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</si>
  <si>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</si>
  <si>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600
60013</t>
  </si>
  <si>
    <t>2016 - 2022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</si>
  <si>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</si>
  <si>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3.5.2</t>
  </si>
  <si>
    <t>Poprawa bezpieczeństwa i komfortu życia mieszkańców oraz wsparcie niskoemisyjnego transportu drogowego poprzez wybudowanie dróg dla rowerów (lider: powiat toruński)</t>
  </si>
  <si>
    <t>2017 - 2020</t>
  </si>
  <si>
    <t>Zmiana nazwy zadania z: "Poprawa bezpieczeństwa i komfortu życia mieszkańców oraz wsparcie niskoemisyjnego transportu drogowego poprzez wybudowanie dróg dla rowerów na terenie powiatu bydgoskiego (lider gmina Koronowo, gmina Solec Kujawski, powiat bydgoski)" na "Poprawa bezpieczeństwa i komfortu życia mieszkańców oraz wsparcie niskoemisyjnego transportu drogowego poprzez wybudowanie dróg dla rowerów  na terenie powiatu bydgoskiego (lider: gmina Solec Kujawski, powiat bydgoski)"</t>
  </si>
  <si>
    <t>2017 - 2022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</si>
  <si>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</si>
  <si>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2016 - 2021</t>
  </si>
  <si>
    <t>017, 018</t>
  </si>
  <si>
    <t>Punkty selektywnego zbierania odpadów komunalnych w województwie kujawsko-pomorskim</t>
  </si>
  <si>
    <t>900
90026</t>
  </si>
  <si>
    <t>2018 - 2023</t>
  </si>
  <si>
    <t>4.4</t>
  </si>
  <si>
    <t>094, 095</t>
  </si>
  <si>
    <t>Kujawsko-Pomorskie - rozwój poprzez kulturę 2018</t>
  </si>
  <si>
    <t>921
92195</t>
  </si>
  <si>
    <t>Kujawsko-Pomorskie - rozwój poprzez kulturę 2019</t>
  </si>
  <si>
    <t>Kujawsko-Pomorskie - rozwój poprzez kulturę 2020</t>
  </si>
  <si>
    <t>2020 - 2021</t>
  </si>
  <si>
    <t>094</t>
  </si>
  <si>
    <t>Wsparcie opieki nad zabytkami województwa kujawsko-pomorskiego w 2019 roku</t>
  </si>
  <si>
    <t>921
92120</t>
  </si>
  <si>
    <t>2019 - 2020</t>
  </si>
  <si>
    <t>Wsparcie opieki nad zabytkami Województwa Kujawsko-Pomorskiego w 2020 roku</t>
  </si>
  <si>
    <t>4.5</t>
  </si>
  <si>
    <t>085</t>
  </si>
  <si>
    <t>Ochrona czynna i monitoring obszarów Natura 2000 zlokalizowanych w granicach Brodnickiego Parku Krajobrazowego</t>
  </si>
  <si>
    <t>BPK</t>
  </si>
  <si>
    <t>925
92502</t>
  </si>
  <si>
    <t xml:space="preserve">Poprawa różnorodności biologicznej poprzez zarybianie j. Gopło oraz rozbudowa obiektu o część ekspozycji przyrodniczo-historycznej </t>
  </si>
  <si>
    <t>NPT</t>
  </si>
  <si>
    <t>Utworzenie ośrodka edukacji przyrodniczej Krajeńskiego Parku Krajobrazowego</t>
  </si>
  <si>
    <t>KPK</t>
  </si>
  <si>
    <t>Budowa stacji terenowo-badawczej "Podmoście"</t>
  </si>
  <si>
    <t>ZPKnDW</t>
  </si>
  <si>
    <t>Modernizacja zagrody wiejskiej w Dusocinie na potrzeby ośrodka edukacji ekologicznej na terenie Parku Krajobrazowego "Góry Łosiowe" wraz z czynną ochrona przyrody na obszarze Natura 2000</t>
  </si>
  <si>
    <t>4.6.2</t>
  </si>
  <si>
    <t>"Droga do Nowoczesności" - remont dachu i adaptacja pomieszczeń magazynowych w zabytkowym budynku przy ul. Stary Rynek 22 w Bydgoszczy</t>
  </si>
  <si>
    <t>UM</t>
  </si>
  <si>
    <t>921
92116</t>
  </si>
  <si>
    <t>"Droga do Nowoczesności" - prace remontowo-konserwatorskie zabytkowej klatki schodowej budynku przy ul. Długiej 39 w Bydgoszczy</t>
  </si>
  <si>
    <t>034</t>
  </si>
  <si>
    <t>Rozbudowa drogi wojewódzkiej Nr 251 Kaliska-Inowrocław na odcinku od km 19+649 (od granicy województwa kujawsko-pomorskiego)  do km 34+200 oraz od km 34+590,30 do km 35+290 wraz z przebudową mostu na rzece Gąsawka w miejscowości Żnin</t>
  </si>
  <si>
    <t>Rozbudowa drogi wojewódzkiej Nr 548 Stolno-Wąbrzeźno od km 0+005 do km 29+619 z wyłączeniem węzła autostradowego w m. Lisewo od km 14+144 do km 15+146</t>
  </si>
  <si>
    <t>Przebudowa i rozbudowa drogi wojewódzkiej Nr 559 na odcinku Lipno - Kamień Kotowy - granica województwa</t>
  </si>
  <si>
    <t>Przebudowa wraz z rozbudową drogi wojewódzkiej Nr 265 Brześć Kujawski-Gostynin od km 0+003 do km 19+117</t>
  </si>
  <si>
    <t>Przebudowa i rozbudowa drogi wojewódzkiej Nr 255 Pakość - Strzelno od km 0+005 do km 21+910, Etap I - Rozbudowa drogi wojewódzkiej Nr 255 na odc. od km 0+005 do km 2+220, dł. 2,215 km"</t>
  </si>
  <si>
    <t>Przebudowa i rozbudowa drogi wojewódzkiej Nr 255 Pakość - Strzelno od km 0+005 do km 21+910, Etap II - Przebudowa drogi wojewódzkiej Nr 255 na odc. od km 2+220 do km 21+910, dł. 19,690 km</t>
  </si>
  <si>
    <t>Przebudowa wraz z rozbudową drogi wojewódzkiej Nr 254 Brzoza-Łabiszyn-Barcin-Mogilno-Wylatowo (odcinek Brzoza-Barcin). Odcinek I od km 0+069 do km 13+280.</t>
  </si>
  <si>
    <t>2017 - 2023</t>
  </si>
  <si>
    <t>Rozbudowa drogi wojewódzkiej Nr 270 Brześć Kujawski - Izbica Kujawska - Koło od km 0+000 do km 29+023 - Budowa obwodnicy m. Lubraniec</t>
  </si>
  <si>
    <t>Przebudowa drogi wojewódzkiej Nr 249 wraz z uruchomieniem przeprawy promowej przez Wisłę na wysokości Solca Kujawskiego i Czarnowa</t>
  </si>
  <si>
    <t>6.1.1</t>
  </si>
  <si>
    <t>052, 053</t>
  </si>
  <si>
    <t>Doposażenie szpitali w województwie kujawsko-pomorskim związane z zapobieganiem, przeciwdzialaniem i zwalczaniem COVID-19</t>
  </si>
  <si>
    <t>851                 85195</t>
  </si>
  <si>
    <t>6.3.1</t>
  </si>
  <si>
    <t>052</t>
  </si>
  <si>
    <t>Tylko w Korczaku jest super dzieciaku</t>
  </si>
  <si>
    <t>854                 85403</t>
  </si>
  <si>
    <t>"Dostrzec to co niewidoczne" - zwiększenie dostępności do edukacji przedszkolnej w ośrodku Braille'a w Bydgoszczy</t>
  </si>
  <si>
    <t>6.3.2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</si>
  <si>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</si>
  <si>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</si>
  <si>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Medyczne Centrum Przyszłości - utworzenie bazy kształcenia zawodowego dla Medyczno-Społecznego Centrum Kształcenia Zawodowego i Ustawicznego w Toruniu</t>
  </si>
  <si>
    <t>801                 80116</t>
  </si>
  <si>
    <t>Kwalifikacyjne Kursy Zawodowe twoją zawodowa szansą - nowe formy praktycznej nauki zawodu w Kujawsko-Pomorskim Centrum Kształecenia Zawodowego w Bydgoszczy</t>
  </si>
  <si>
    <t>801                 80140</t>
  </si>
  <si>
    <t>6.5</t>
  </si>
  <si>
    <t>075, 093</t>
  </si>
  <si>
    <t>Utworzenie Centrum Czynnej Ochrony Przyrody Wdeckiego Parku Krajobrazowego</t>
  </si>
  <si>
    <t>WPK</t>
  </si>
  <si>
    <t>8.4.1</t>
  </si>
  <si>
    <t>105</t>
  </si>
  <si>
    <t>Aktywna Mama, aktywny Tata</t>
  </si>
  <si>
    <t>852                 85295</t>
  </si>
  <si>
    <t>8.6.1</t>
  </si>
  <si>
    <t>107</t>
  </si>
  <si>
    <t>Zdrowi i aktywni w pracy</t>
  </si>
  <si>
    <t>Zdrowiej w pracy i po pracy</t>
  </si>
  <si>
    <t>WUP 
w Toruniu</t>
  </si>
  <si>
    <t>853
85332</t>
  </si>
  <si>
    <t>2020 - 2022</t>
  </si>
  <si>
    <t xml:space="preserve">Profilaktyka WZW B i C dla mieszkańców województwa kujawsko-pomorskiego </t>
  </si>
  <si>
    <t>851
85149</t>
  </si>
  <si>
    <t>2020 - 2023</t>
  </si>
  <si>
    <t>109</t>
  </si>
  <si>
    <t>Wykluczenie - nie ma MOWy!</t>
  </si>
  <si>
    <t>852
85295</t>
  </si>
  <si>
    <t>Trampolina 2</t>
  </si>
  <si>
    <t>9.3.1</t>
  </si>
  <si>
    <t>112</t>
  </si>
  <si>
    <t>Realizacja działań z zakresu edukacji i bezpieczeństwa publicznego ukierunkowanych na kształtowanie własciwych postaw funkcjonowania społecznego w sytuacji występowania zagrożeń epidemiologicznych</t>
  </si>
  <si>
    <t>851
85195</t>
  </si>
  <si>
    <t>Ograniczenie negatywnych skutków COVID-19  poprzez działania profilaktyczne i zabezpieczające skierowane do służb medycznych</t>
  </si>
  <si>
    <t>9.3.2</t>
  </si>
  <si>
    <t>Wsparcie osób starszych i kadry świadczącej usługi społeczne w zakresie przeciwdziałania rozprzestrzenianiu się COVID-19, łagodzenia jego skutków na terenie województwa kujawsko-pomorskiego</t>
  </si>
  <si>
    <t>853
85395</t>
  </si>
  <si>
    <t>Rodzina w Centrum 2</t>
  </si>
  <si>
    <t>Kujawsko-Pomorskie Teleopieka</t>
  </si>
  <si>
    <t>Pogodna jesień życia na Kujawach i Pomorzu - projekt pomocy środowiskowej dla seniorów (Lider Kujawsko-Pomorski Oddział Okręgowy Polskiego Czerwonego Krzyża w Bydgoszczy)</t>
  </si>
  <si>
    <t>9.4.2</t>
  </si>
  <si>
    <t>113</t>
  </si>
  <si>
    <t>Koordynacja rozwoju ekonomii społecznej w województwie kujawsko-pomorskim (II)</t>
  </si>
  <si>
    <t>2019 - 2023</t>
  </si>
  <si>
    <t>10.2.1</t>
  </si>
  <si>
    <t>115</t>
  </si>
  <si>
    <t>Przedszkolaki - debeściaki - edukacja przedszkolna i terapia dla dzieci z niepełnosprawnościami</t>
  </si>
  <si>
    <t>801
80105</t>
  </si>
  <si>
    <t>10.2.2</t>
  </si>
  <si>
    <t>Region Nauk Ścisłych II - edukacja przyszłości</t>
  </si>
  <si>
    <t>801
80195</t>
  </si>
  <si>
    <t>Niebo nad Astrobazami - rozwijamy kompetencje kluczowe uczniów</t>
  </si>
  <si>
    <t>Kujawsko-Pomorska Szkoła Internetowa</t>
  </si>
  <si>
    <t>10.3.1</t>
  </si>
  <si>
    <t>Prymus Pomorza i Kujaw</t>
  </si>
  <si>
    <t>854
85416</t>
  </si>
  <si>
    <t>Humaniści na start</t>
  </si>
  <si>
    <t>10.3.2</t>
  </si>
  <si>
    <t>118</t>
  </si>
  <si>
    <t>Prymusi Zawodu Kujaw i Pomorza II</t>
  </si>
  <si>
    <t>10.4.1</t>
  </si>
  <si>
    <t>117</t>
  </si>
  <si>
    <t>W Kujawsko-Pomorskiem - Mówisz - masz - certyfikowane szkolenia językowe</t>
  </si>
  <si>
    <t>150
15013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</si>
  <si>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</si>
  <si>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</si>
  <si>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</si>
  <si>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</si>
  <si>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</si>
  <si>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750
75018</t>
  </si>
  <si>
    <t>Opracowanie dokumentacji projektowej dla strategicznych zadań w szpitalach wojewódzkich dla nowego okresu programowania 2021-2027</t>
  </si>
  <si>
    <t>851
85111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</si>
  <si>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</si>
  <si>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</si>
  <si>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</si>
  <si>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</si>
  <si>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3.5.1</t>
  </si>
  <si>
    <t>013, 014</t>
  </si>
  <si>
    <t>Efektywność energetyczna w sektorze publicznym i mieszkaniowym w ramach ZIT</t>
  </si>
  <si>
    <t>X</t>
  </si>
  <si>
    <t>4.3</t>
  </si>
  <si>
    <t>020, 021, 022, 023</t>
  </si>
  <si>
    <t>Rozwój infrastruktury wodno-ściekowej</t>
  </si>
  <si>
    <t>900
90001</t>
  </si>
  <si>
    <t>053</t>
  </si>
  <si>
    <t>Inwestycje w infrastrukturę zdrowotną</t>
  </si>
  <si>
    <t>6.1.2</t>
  </si>
  <si>
    <t>053, 054, 055, 101</t>
  </si>
  <si>
    <t>Inwestycje w infrastrukturę społeczną</t>
  </si>
  <si>
    <t>6.2</t>
  </si>
  <si>
    <t>034, 054, 055, 101</t>
  </si>
  <si>
    <t>Rewitalizacja obszarów miejskich i ich obszarów funkcjonalnych</t>
  </si>
  <si>
    <t>900
90095</t>
  </si>
  <si>
    <t>052, 080, 101</t>
  </si>
  <si>
    <t>Inwestycje w infrastrukturę przedszkolną</t>
  </si>
  <si>
    <t>801
80104</t>
  </si>
  <si>
    <t>6.4.1</t>
  </si>
  <si>
    <t>Rewitalizacja obszarów miejskich i ich obszarów funkcjonalnych w ramach ZIT</t>
  </si>
  <si>
    <t>7.1</t>
  </si>
  <si>
    <t>034, 097</t>
  </si>
  <si>
    <t>Rozwój lokalny kierowany przez społeczność</t>
  </si>
  <si>
    <t>8.2.1</t>
  </si>
  <si>
    <t>Wsparcie na rzecz podniesienia poziomu aktywności zawodowej osób pozostających bez zatrudnienia</t>
  </si>
  <si>
    <t>8.2.2</t>
  </si>
  <si>
    <t>102</t>
  </si>
  <si>
    <t>Wsparcie osób pracujących znajdujących się w niekorzystnej sytuacji na rynku pracy</t>
  </si>
  <si>
    <t>8.3</t>
  </si>
  <si>
    <t>104</t>
  </si>
  <si>
    <t>Wsparcie przedsiębiorczości i samozatrudnienia w regionie</t>
  </si>
  <si>
    <t>Wsparcie zatrudnienia osób pełniących funkcje opiekuńcze</t>
  </si>
  <si>
    <t>8.5.2</t>
  </si>
  <si>
    <t>106</t>
  </si>
  <si>
    <t>Wsparcie outplacementowe</t>
  </si>
  <si>
    <t>Wsparcie na rzecz wydłużania aktywności zawodowej mieszkańców</t>
  </si>
  <si>
    <t>851            85195</t>
  </si>
  <si>
    <t>8.6.2</t>
  </si>
  <si>
    <t xml:space="preserve">Regionalne programy polityki zdrowotnej i profilaktyczne </t>
  </si>
  <si>
    <t>851            85149</t>
  </si>
  <si>
    <t>9.1.2</t>
  </si>
  <si>
    <t>Rozwój usług opiekuńczych w ramach ZIT</t>
  </si>
  <si>
    <t>852            85228</t>
  </si>
  <si>
    <t>Aktywne włączenie społeczne młodzieży objętej sądowym środkiem wychowawczym lub poprawczym</t>
  </si>
  <si>
    <t>852            85295</t>
  </si>
  <si>
    <t>Rozwój usług zdrowotnych</t>
  </si>
  <si>
    <t>Rozwój usług społecznych</t>
  </si>
  <si>
    <t>9.4.1</t>
  </si>
  <si>
    <t>Rozwój podmiotów sektora ekonomii społecznej</t>
  </si>
  <si>
    <t>852            85203</t>
  </si>
  <si>
    <t>10.1.2</t>
  </si>
  <si>
    <t>Kształcenie ogólne w ramach ZIT</t>
  </si>
  <si>
    <t>801 
80195</t>
  </si>
  <si>
    <t>10.1.3</t>
  </si>
  <si>
    <t>Kształcenie zawodowe w ramach ZIT</t>
  </si>
  <si>
    <t>Kształcenie ogólne</t>
  </si>
  <si>
    <t>10.2.3</t>
  </si>
  <si>
    <t>Kształcenie zawodowe</t>
  </si>
  <si>
    <t>Edukacja dorosłych w zakresie kompetencji cyfrowych i języków obcych</t>
  </si>
  <si>
    <t>150 
15013</t>
  </si>
  <si>
    <t>10.4.2</t>
  </si>
  <si>
    <t>Edukacja dorosłych na rzecz rynku pracy</t>
  </si>
  <si>
    <t>Działania i projekty realizowane przez beneficjentów zewnętrznych, którym samorząd województwa przekazuje dotacje na współfinansowanie krajowe</t>
  </si>
  <si>
    <t>Nr     /     /20 Sejmiku Województwa</t>
  </si>
  <si>
    <r>
      <t xml:space="preserve">W załączniku nr 7 pn. </t>
    </r>
    <r>
      <rPr>
        <b/>
        <sz val="16"/>
        <rFont val="Times New Roman CE"/>
        <charset val="238"/>
      </rPr>
      <t xml:space="preserve">"Pozostałe projekty i działania realizowane ze środków zagranicznych. Plan na 2020 rok" </t>
    </r>
    <r>
      <rPr>
        <sz val="16"/>
        <rFont val="Times New Roman CE"/>
        <charset val="238"/>
      </rPr>
      <t xml:space="preserve">do uchwały XII/262/19 Sejmiku Województwa Kujawsko-Pomorskiego z dnia 16 grudnia 2019 r. w sprawie budżetu województwa na rok 2020  wprowadza się następujące zmiany: </t>
    </r>
  </si>
  <si>
    <t xml:space="preserve">Program/ Działanie </t>
  </si>
  <si>
    <t>Nazwa Projektu</t>
  </si>
  <si>
    <t>Wydatki całkowite
 w tym:</t>
  </si>
  <si>
    <t>Przewidywane wykonanie do końca 2019 r. w tym:</t>
  </si>
  <si>
    <t>Krajowy wkład publiczny</t>
  </si>
  <si>
    <t>Inne publiczne</t>
  </si>
  <si>
    <t xml:space="preserve">Wydatki realizowane przez wojewódzkie jednostki organizacyjne </t>
  </si>
  <si>
    <t>PO PT</t>
  </si>
  <si>
    <t>Punkty Informacyjne Funduszy Europejskich WK-P</t>
  </si>
  <si>
    <t>750
75095</t>
  </si>
  <si>
    <t>2014 - 2021</t>
  </si>
  <si>
    <t>Wsparcie gmin w przygotowaniu i koordynacji programów rewitalizacji</t>
  </si>
  <si>
    <t>Urząd Marszałkowski w Toruniu /KPBPP we Włocławku</t>
  </si>
  <si>
    <t>2019 - 2022</t>
  </si>
  <si>
    <t>PO PC
Działanie 3.2</t>
  </si>
  <si>
    <t>Buduję, koduję, programuję</t>
  </si>
  <si>
    <t>KPCEN 
w Toruniu</t>
  </si>
  <si>
    <t>PO WER
Działanie 1.2</t>
  </si>
  <si>
    <t>Wsparcie osób młodych na regionalnym rynku pracy - projekty konkursowe</t>
  </si>
  <si>
    <t>WUP
w Toruniu</t>
  </si>
  <si>
    <t>PO WER
Działanie 2.5</t>
  </si>
  <si>
    <t>Kooperacja - efektywna i skuteczna</t>
  </si>
  <si>
    <t>ROPS
w Toruniu</t>
  </si>
  <si>
    <t>PO WER
Działanie 2.10</t>
  </si>
  <si>
    <t>Toruńska szkoła ćwiczeń dla województwa kujawsko-pomorskiego</t>
  </si>
  <si>
    <t>BP 
w Toruniu</t>
  </si>
  <si>
    <t>PO WER
Działanie 2.8</t>
  </si>
  <si>
    <t>Pomagamy skutecznie</t>
  </si>
  <si>
    <t>PO WER
Działanie 2.14</t>
  </si>
  <si>
    <t>Lokalny Ośrodek Wiedzy i Edukacji w K-P SOSW Nr 1 w Bydgoszczy</t>
  </si>
  <si>
    <t>K-P SOS-W 
Nr 1 
w Bydgoszczy</t>
  </si>
  <si>
    <t>PO WER
Działanie 2.18</t>
  </si>
  <si>
    <t>Wdrażanie standardów obsługi inwestora w samorządach województwa kujawsko-pomorskiego 
(lider: Euro Innowacje sp. z o.o.)</t>
  </si>
  <si>
    <t>PO WER 
Pomoc Techniczna</t>
  </si>
  <si>
    <t>Pomoc Techniczna Programu Operacyjnego Wiedza Edukacja Rozwój</t>
  </si>
  <si>
    <t>2015 - 2021</t>
  </si>
  <si>
    <t xml:space="preserve">PROW
Pomoc Techniczna </t>
  </si>
  <si>
    <t>Schemat I - Wzmocnienie systemu wdrażania Programu</t>
  </si>
  <si>
    <t>010
01041</t>
  </si>
  <si>
    <t>2015 - 2023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</si>
  <si>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</si>
  <si>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</si>
  <si>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</si>
  <si>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</si>
  <si>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</si>
  <si>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PO IŚ
Działanie 2.4</t>
  </si>
  <si>
    <t>Edukacja społeczności zamieszkujących obszary chronione województwa kujawsko-pomorskiego: Lubię tu być na zielonym!</t>
  </si>
  <si>
    <t>PO IŚ
Działanie 8.1</t>
  </si>
  <si>
    <t>Młyn Kultury - Przebudowa, rozbudowa i zmiana sposobu użytkowania budynku magazynowego przy ul. Kościuszki 77 
w Toruniu - na budynek o funkcji użyteczności publicznej</t>
  </si>
  <si>
    <t>ERASMUS+</t>
  </si>
  <si>
    <t>Kreatywni nauczyciele dla dzieci i młodzieży z dysfunkcją wzroku</t>
  </si>
  <si>
    <t>KPSOSW Nr 1 w Bydgoszczy</t>
  </si>
  <si>
    <t>Podróż ku niezależności (A journey to independence)</t>
  </si>
  <si>
    <t>INTERREG (Region Morza Bałtyckiego)</t>
  </si>
  <si>
    <t>EMMA Extension</t>
  </si>
  <si>
    <t>600
60095</t>
  </si>
  <si>
    <t>INTERREG (Europa Środkowa)</t>
  </si>
  <si>
    <t>SURFACE</t>
  </si>
  <si>
    <t>HICAPS</t>
  </si>
  <si>
    <t>Combine</t>
  </si>
  <si>
    <t>INTERREG (Europa)</t>
  </si>
  <si>
    <t>Digitourism</t>
  </si>
  <si>
    <t>150
15095</t>
  </si>
  <si>
    <t>ECO-CICLE</t>
  </si>
  <si>
    <t>630
63095</t>
  </si>
  <si>
    <t>Cult-CreaTE</t>
  </si>
  <si>
    <t>ThreeT</t>
  </si>
  <si>
    <t>Załącznik nr 7 do uchwały</t>
  </si>
  <si>
    <t>Nr     /     /20 Sejmiku  Województwa</t>
  </si>
  <si>
    <t>Załącznik nr 8 do uchwały</t>
  </si>
  <si>
    <t>Nr   /    /20 Sejmiku Województwa</t>
  </si>
  <si>
    <t xml:space="preserve">z dnia   .12.2020 r. </t>
  </si>
  <si>
    <t>Załącznik nr 9 do uchwały Nr   /      /20</t>
  </si>
  <si>
    <t xml:space="preserve">                                                                                                                             </t>
  </si>
  <si>
    <t xml:space="preserve">Sejmiku Województwa z dnia   .12.2020 r.     </t>
  </si>
  <si>
    <r>
      <t>W załączniku nr 9</t>
    </r>
    <r>
      <rPr>
        <b/>
        <sz val="12"/>
        <rFont val="Times New Roman CE"/>
        <charset val="238"/>
      </rPr>
      <t xml:space="preserve"> "Dotacje udzielane z budżetu Województwa Kujawsko - Pomorskiego. Plan na 2020 rok"</t>
    </r>
    <r>
      <rPr>
        <sz val="12"/>
        <rFont val="Times New Roman CE"/>
        <charset val="238"/>
      </rPr>
      <t xml:space="preserve"> do uchwały XII/262/19 Sejmiku Województwa Kujawsko-Pomorskiego z dnia 16 grudnia 2019 r. w sprawie budżetu województwa na rok 2020 (z późn.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</si>
  <si>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</si>
  <si>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</si>
  <si>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</si>
  <si>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</si>
  <si>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</si>
  <si>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inwestycje</t>
  </si>
  <si>
    <t>bieżące</t>
  </si>
  <si>
    <t xml:space="preserve"> I DOTACJE PRZEDMIOTOWE</t>
  </si>
  <si>
    <t>Dla przewoźników komunikacji kolejowej z tytułu świadczonych usług w zakresie publicznego transportu zbiorowego</t>
  </si>
  <si>
    <r>
      <t xml:space="preserve">Dla przewoźników komunikacji kolejowej z tytułu świadczonych usług w zakresie publicznego transportu zbiorowego
</t>
    </r>
    <r>
      <rPr>
        <i/>
        <sz val="10"/>
        <color indexed="8"/>
        <rFont val="Times New Roman CE"/>
        <charset val="238"/>
      </rPr>
      <t>Dotowanie kolejowych przewozów pasażerskich 2020-2035 (Pakiet bydgoski A)</t>
    </r>
  </si>
  <si>
    <r>
      <t xml:space="preserve">Dla przewoźników komunikacji kolejowej z tytułu świadczonych usług w zakresie publicznego transportu zbiorowego
</t>
    </r>
    <r>
      <rPr>
        <i/>
        <sz val="10"/>
        <color indexed="8"/>
        <rFont val="Times New Roman CE"/>
        <charset val="238"/>
      </rPr>
      <t>Dotowanie kolejowych przewozów pasażerskich 2020-2035 (Pakiet grudziądzki B)</t>
    </r>
  </si>
  <si>
    <r>
      <t xml:space="preserve">Dla przewoźników komunikacji kolejowej z tytułu świadczonych usług w zakresie publicznego transportu zbiorowego
</t>
    </r>
    <r>
      <rPr>
        <i/>
        <sz val="10"/>
        <color indexed="8"/>
        <rFont val="Times New Roman CE"/>
        <charset val="238"/>
      </rPr>
      <t>Dotowanie kolejowych przewozów pasażerskich 2020-2035 (Pakiet toruński C)</t>
    </r>
  </si>
  <si>
    <r>
      <t xml:space="preserve">Dla przewoźników komunikacji kolejowej z tytułu świadczonych usług w zakresie publicznego transportu zbiorowego
</t>
    </r>
    <r>
      <rPr>
        <i/>
        <sz val="10"/>
        <color indexed="8"/>
        <rFont val="Times New Roman CE"/>
        <charset val="238"/>
      </rPr>
      <t>Dotowanie kolejowych przewozów pasażerskich 2020-2035 (koszty korzystania z infrastruktury kolejowej)</t>
    </r>
  </si>
  <si>
    <t>Dotowanie kolejowych przewozów pasażerskich 2020-2035</t>
  </si>
  <si>
    <t xml:space="preserve"> II DOTACJE PODMIOTOWE</t>
  </si>
  <si>
    <t>Dotacje dla instytucji kultury</t>
  </si>
  <si>
    <t xml:space="preserve">Działalność statutowa  </t>
  </si>
  <si>
    <t>Zadanie remontowe - Remont elewacji budynku głównego i budynku Sceny na Zapleczu Teatru im. Wilama Horzycy w Toruniu</t>
  </si>
  <si>
    <t>Zadanie remontowe - Roboty remontowo-konserwatorskie w budynku głównym Teatru im. Wilama Horzycy w Toruniu</t>
  </si>
  <si>
    <t>zmiana nazwy z:
Kujawsko-Pomorski Impresaryjny Teatr Muzyczny w Toruniu
na:
Kujawsko-Pomorski Teatr Muzyczny w Toruniu</t>
  </si>
  <si>
    <t>Wojewódzki Ośrodek Animacji Kultury w Toruniu</t>
  </si>
  <si>
    <t>Zadanie remontowe - Kujawsko-Pomorskie Centrum Kultury w Bydgoszczy - remonty</t>
  </si>
  <si>
    <t xml:space="preserve">Działalność statutowa w tym:  </t>
  </si>
  <si>
    <t xml:space="preserve"> - ze środków własnych Województwa</t>
  </si>
  <si>
    <t xml:space="preserve"> - ze środków Gminy Radomin</t>
  </si>
  <si>
    <t>Zadanie remontowe - Pałac Lubostroń w Lubostroniu - remonty</t>
  </si>
  <si>
    <t>Galeria Sztuki "Wozownia" w Toruniu</t>
  </si>
  <si>
    <t>Galeria i Ośrodek Plastycznej Twórczości Dziecka w Torunia</t>
  </si>
  <si>
    <t>Centrum Sztuki Współczesnej "Znaki Czasu"</t>
  </si>
  <si>
    <t>92113</t>
  </si>
  <si>
    <t xml:space="preserve"> - ze środków Miasta Bydgoszczy</t>
  </si>
  <si>
    <t xml:space="preserve"> - ze środków Miasta Torunia</t>
  </si>
  <si>
    <t>Zadanie remontowe - Remonty</t>
  </si>
  <si>
    <t>Zadanie remontowe - Wymiana pokrycia dachowego na zabytkowym spichrzu przy ul. Bulwary 9 we Włocławku</t>
  </si>
  <si>
    <t>Zadanie remontowe - Muzeum Ziemi Kujawskiej i Dobrzyńskiej we Włocławku - remonty</t>
  </si>
  <si>
    <t xml:space="preserve"> III DOTACJE CELOWE</t>
  </si>
  <si>
    <t xml:space="preserve"> Na zadania realizowane w ramach Regionalnego Programu Operacyjnego WK-P 2007-2013</t>
  </si>
  <si>
    <t>90002</t>
  </si>
  <si>
    <t>Gospodarka odpadami</t>
  </si>
  <si>
    <t xml:space="preserve"> Na zadania realizowane w ramach Regionalnego Programu Operacyjnego WK-P 2014-2020</t>
  </si>
  <si>
    <t>W Kujawsko-Pomorskiem Mówisz-masz - certyfikowane szkolenia językowe</t>
  </si>
  <si>
    <r>
      <rPr>
        <b/>
        <sz val="10"/>
        <color indexed="8"/>
        <rFont val="Times New Roman CE"/>
        <charset val="238"/>
      </rPr>
      <t>zmiana nazwy zadania z:</t>
    </r>
    <r>
      <rPr>
        <sz val="10"/>
        <color indexed="8"/>
        <rFont val="Times New Roman CE"/>
        <family val="1"/>
        <charset val="238"/>
      </rPr>
      <t xml:space="preserve">
Poprawa bezpieczeństwa i komfortu życia mieszkańców oraz wsparcie niskoemisyjnego transportu drogowego poprzez wybudowanie dróg rowerowych na terenie powiatu bydgoskiego (lider gmina Koronowo, gmina Solec Kujawski, powiat bydgoski)
</t>
    </r>
    <r>
      <rPr>
        <b/>
        <sz val="10"/>
        <color indexed="8"/>
        <rFont val="Times New Roman CE"/>
        <charset val="238"/>
      </rPr>
      <t xml:space="preserve">na:
</t>
    </r>
    <r>
      <rPr>
        <sz val="10"/>
        <color indexed="8"/>
        <rFont val="Times New Roman CE"/>
        <charset val="238"/>
      </rPr>
      <t>Poprawa bezpieczeństwa i komfortu życia mieszkańców oraz wsparcie niskoemisyjnego transportu drogowego poprzez wybudowanie dróg dla rowerów na terenie powiatu bydgoskiego (lider: gmina Solec Kujawski, powiat bydgoski)</t>
    </r>
  </si>
  <si>
    <t>80104</t>
  </si>
  <si>
    <t>85149</t>
  </si>
  <si>
    <t>Regionalne programy polityki zdrowotnej i profilaktyczne</t>
  </si>
  <si>
    <t>Doposażenie szpitali w województwie kujawsko-pomorskim związane z zapobieganiem, przeciwdziałaniem i zwalczaniem COVID-19</t>
  </si>
  <si>
    <t>Wsparcie na rzecz wydłużenia aktywności zawodowej mieszkańców</t>
  </si>
  <si>
    <t>Ograniczenie negatywnych skutków COVID-19 poprzez działania profilaktyczne i zabezpieczające skierowane do służb medycznych</t>
  </si>
  <si>
    <t>85203</t>
  </si>
  <si>
    <t>85228</t>
  </si>
  <si>
    <t>85295</t>
  </si>
  <si>
    <t>Kujawsko-Pomorska Teleopieka</t>
  </si>
  <si>
    <t>85395</t>
  </si>
  <si>
    <t>85595</t>
  </si>
  <si>
    <t>90001</t>
  </si>
  <si>
    <t>90026</t>
  </si>
  <si>
    <r>
      <t xml:space="preserve">"Droga do Nowoczesności" - remont dachu i adaptacja pomieszczeń magazynowych w zabytkowym budynku przy ul. Rynek 22 w Bydgoszczy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</si>
  <si>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"Droga do Nowoczesności" - prace remontowo-konserwatorskie zabytkowej klatki schodowej budynku przy ul. Długiej 39 w Bydgoszczy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</si>
  <si>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t>92120</t>
  </si>
  <si>
    <t xml:space="preserve"> Na zadania realizowane w ramach Programu Operacyjnego Wiedza Edukacja i Rozwój</t>
  </si>
  <si>
    <t>2.5</t>
  </si>
  <si>
    <t>Wsparcie osób młodych na regionalnym rynku pracy</t>
  </si>
  <si>
    <t>2.8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</si>
  <si>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</si>
  <si>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</si>
  <si>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</si>
  <si>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t>Bieżące utrzymanie wód i urządzeń wodnych - konserwacja, naprawa urządzeń melioracji wodnych (spółki wodne)</t>
  </si>
  <si>
    <t>Realizacja ustawy o ochronie gruntów rolnych i leśnych</t>
  </si>
  <si>
    <t>Organizacja dożynek</t>
  </si>
  <si>
    <t>GOSPOSTRATEG - Usytuowanie na poziomie samorządów lokalnych instrumentów wsparcia dla MŚP działających w oparciu o model wielopoziomowego zarządzania regionem</t>
  </si>
  <si>
    <t>Kolejowe regionalne i międzywojewódzkie przewozy pasażerskie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</si>
  <si>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</si>
  <si>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</si>
  <si>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</si>
  <si>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t>Poprawa bezpieczeństwa i komfortu życia mieszkańców oraz wsparcie niskoemisyjnego transportu drogowego poprzez wybudowanie dróg dla rowerów - przy drodze wojewódzkiej Nr 551 Wybcz-Nawra, Nawra-Bogusławki oraz Zelgno (lider: Gmina Chełmża)</t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</si>
  <si>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</si>
  <si>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Modernizacja dróg na terenie Miasta Inowrocławia - wsparcie finansowe do 25 % wartości inwestycji przewidzianych do realizacji w ramach Funduszu Dróg Samorządowych </t>
    </r>
    <r>
      <rPr>
        <b/>
        <i/>
        <sz val="10"/>
        <color indexed="8"/>
        <rFont val="Times New Roman CE"/>
        <charset val="238"/>
      </rPr>
      <t>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</si>
  <si>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Times New Roman CE"/>
        <charset val="238"/>
      </rPr>
      <t>wsparcie finansowe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</si>
  <si>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</si>
  <si>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Times New Roman CE"/>
        <charset val="238"/>
      </rPr>
      <t xml:space="preserve"> (GRANTY)</t>
    </r>
  </si>
  <si>
    <t>Laboratorium myśli św. Jana Pawła II</t>
  </si>
  <si>
    <t>Rozbudowa kampusu UTP w Bydgoszczy w Fordonie (partycypacja do 30% wysokości dotacji ministerialnej)</t>
  </si>
  <si>
    <r>
      <t>Działalność na rzecz organizacji pozarządowych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</si>
  <si>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ERASMUS + Podróż ku niezależności (A journey to independence) </t>
    </r>
    <r>
      <rPr>
        <b/>
        <i/>
        <sz val="10"/>
        <color indexed="8"/>
        <rFont val="Times New Roman CE"/>
        <charset val="238"/>
      </rPr>
      <t>(IZ)</t>
    </r>
  </si>
  <si>
    <r>
      <t xml:space="preserve">Podniesienie jakości usług zdrowotnych oraz zwiększenie dostępu do usług medycznych w WSS we Włocławku - modernizacja pomieszczeń w budynkach szpitalnych
</t>
    </r>
    <r>
      <rPr>
        <i/>
        <sz val="10"/>
        <color indexed="8"/>
        <rFont val="Times New Roman CE"/>
        <charset val="238"/>
      </rPr>
      <t>Wojewódzki Szpital Specjalistyczny im. bł. ks. Jerzego Popiełuszki we Włocławku</t>
    </r>
  </si>
  <si>
    <r>
      <t xml:space="preserve">Podniesienie jakości usług zdrowotnych oraz zwiększenie dostępu do usług medycznych w WSS we Włocławku - zakup sprzętu i wyposażenia
</t>
    </r>
    <r>
      <rPr>
        <i/>
        <sz val="10"/>
        <color indexed="8"/>
        <rFont val="Times New Roman CE"/>
        <charset val="238"/>
      </rPr>
      <t>Wojewódzki Szpital Specjalistyczny im. bł. ks. Jerzego Popiełuszki we Włocławku</t>
    </r>
  </si>
  <si>
    <r>
      <t xml:space="preserve">Podniesienie jakości usług zdrowotnych oraz zwiększenie dostępu do usług medycznych w WSS we Włocławku - zakup sprzętu medycznego dla pacjentów naczyniowo-sercowych
</t>
    </r>
    <r>
      <rPr>
        <i/>
        <sz val="10"/>
        <color indexed="8"/>
        <rFont val="Times New Roman CE"/>
        <charset val="238"/>
      </rPr>
      <t>Wojewódzki Szpital Specjalistyczny im. bł. ks. Jerzego Popiełuszki we Włocławku</t>
    </r>
  </si>
  <si>
    <r>
      <t xml:space="preserve">Zadania związane z zapobieganiem oraz zwalczaniem zakażenia wirusem SARS-CoV-2 i rozprzestrzenianiem się choroby zakaźnej wywołanej tym wirusem u ludzi
</t>
    </r>
    <r>
      <rPr>
        <i/>
        <sz val="10"/>
        <color indexed="8"/>
        <rFont val="Times New Roman CE"/>
        <charset val="238"/>
      </rPr>
      <t xml:space="preserve">Kujawsko-Pomorskie Centrum Pulmonologii w Bydgoszczy
Wojewódzki Szpital Obserwacyjno-Zakaźny im. T. Browicza w Bydgoszczy
Wojewódzki Szpital Zespolony im. L. Rydygiera w Toruniu
</t>
    </r>
  </si>
  <si>
    <r>
      <t xml:space="preserve">Zadania związane ze zwalczaniem zakażenia, zapobieganiem rozprzestrzeniania się, profilaktyką oraz zwalczaniem skutków choroby zakaźnej wywołanej wirusem SARS-CoV-2 zwanej "COVID-19"
</t>
    </r>
    <r>
      <rPr>
        <i/>
        <sz val="10"/>
        <color indexed="8"/>
        <rFont val="Times New Roman CE"/>
        <charset val="238"/>
      </rPr>
      <t xml:space="preserve">Kujawsko-Pomorskie Centrum Pulmonologii w Bydgoszczy
Wojewódzki Szpital Obserwacyjno-Zakaźny im. T. Browicza w Bydgoszczy
Wojewódzki Szpital Zespolony im. L. Rydygiera w Toruniu
</t>
    </r>
  </si>
  <si>
    <r>
      <t xml:space="preserve">Rozbudowa instalacji tlenowej w Wojewódzkim Szpitalu Zespolonym im. L. Rydygiera w Toruniu
</t>
    </r>
    <r>
      <rPr>
        <i/>
        <sz val="10"/>
        <color indexed="8"/>
        <rFont val="Times New Roman CE"/>
        <charset val="238"/>
      </rPr>
      <t xml:space="preserve">Wojewódzki Szpital Zespolony im. L. Rydygiera w Toruniu
</t>
    </r>
  </si>
  <si>
    <r>
      <t xml:space="preserve">Zapobieganie, przeciwdziałanie i zwalczanie zakażeń i choroby zakaźnej wywołanej wirusem SARS-CoV-2, zwanej "COVID-19"
</t>
    </r>
    <r>
      <rPr>
        <i/>
        <sz val="10"/>
        <color indexed="8"/>
        <rFont val="Times New Roman CE"/>
        <charset val="238"/>
      </rPr>
      <t xml:space="preserve">Wojewódzki Szpital Obserwacyjno-Zakaźny im. T. Browicza w Bydgoszczy
</t>
    </r>
  </si>
  <si>
    <r>
      <t xml:space="preserve">Finansowanie zadań związanych ze zwalczaniem zakażenia, zapobieganiem rozprzestrzenianiu się, profilaktyką oraz zwalczaniem skutków choroby zakaźnej wywołanej wirusem SARS-CoV-2, zwanej "COVID-19" - zakup aparatu Magna Pure 24 Roche przez Wojewódzki Szpital Obserwacyjno-Zakaźny w Bydgoszczy
</t>
    </r>
    <r>
      <rPr>
        <i/>
        <sz val="10"/>
        <color indexed="8"/>
        <rFont val="Times New Roman CE"/>
        <charset val="238"/>
      </rPr>
      <t xml:space="preserve">Wojewódzki Szpital Obserwacyjno-Zakaźny im. T. Browicza w Bydgoszczy
</t>
    </r>
  </si>
  <si>
    <r>
      <t xml:space="preserve">Dostosowanie budynku do wymogów ppoż
</t>
    </r>
    <r>
      <rPr>
        <i/>
        <sz val="10"/>
        <color indexed="8"/>
        <rFont val="Times New Roman CE"/>
        <charset val="238"/>
      </rPr>
      <t>Wojewódzki Szpital dla Nerwowo i Psychicznie Chorych w Świeciu</t>
    </r>
  </si>
  <si>
    <r>
      <t xml:space="preserve">Zakup ambulansów w formie leasingu przez Wojewódzką Stację Pogotowia Ratunkowego w Bydgoszczy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Wojewódzka Stacja Pogotowia Ratunkowego w Bydgoszczy</t>
    </r>
  </si>
  <si>
    <r>
      <t xml:space="preserve">Zadania związane z zapobieganiem oraz zwalczaniem zakażenia wirusem SARS-CoV-2 i rozprzestrzenianiem się choroby zakaźnej wywołanej tym wirusem u ludzi
</t>
    </r>
    <r>
      <rPr>
        <i/>
        <sz val="10"/>
        <color indexed="8"/>
        <rFont val="Times New Roman CE"/>
        <charset val="238"/>
      </rPr>
      <t>Wojewódzki Szpital Specjalistyczny im. bł. ks. Jerzego Popiełuszki we Włocławku</t>
    </r>
  </si>
  <si>
    <r>
      <t xml:space="preserve">Termomodernizacja budynku WOMP w Bydgoszczy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</si>
  <si>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Remont pomieszczeń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</si>
  <si>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>Ochrona i promocja zdrowia -</t>
    </r>
    <r>
      <rPr>
        <b/>
        <i/>
        <sz val="10"/>
        <color indexed="8"/>
        <rFont val="Times New Roman CE"/>
        <charset val="238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</si>
  <si>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</si>
  <si>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</si>
  <si>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</si>
  <si>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t>85154</t>
  </si>
  <si>
    <t>Przeciwdziałanie alkoholizmowi i innym uzależnieniom</t>
  </si>
  <si>
    <r>
      <t>Program - Aktywizacja środowisk wiejskich w zakresie rozwiązywania problemów alkoholowych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</si>
  <si>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</si>
  <si>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Programy edukacyjno-profilaktyczne 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</si>
  <si>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Remont dachu w budynku górnym Oddziału Odwykowego Całodobowego przy ul. Włocławskiej 233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</si>
  <si>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t>85205</t>
  </si>
  <si>
    <t>Wojewódzki Program przeciwdziałania przemocy w rodzinie dla województwa kujawsko-pomorskiego do roku 2020 - Kujawsko-Pomorska Niebieska Linia</t>
  </si>
  <si>
    <t>85311</t>
  </si>
  <si>
    <t xml:space="preserve">Dofinansowanie kosztów działalności Zakładów Aktywności Zawodowej </t>
  </si>
  <si>
    <r>
      <t>Zwiększenie dostępu osób z niepełnosprawnością do lecznictwa specjalistycznego, terapii i rehabilitacji -</t>
    </r>
    <r>
      <rPr>
        <b/>
        <i/>
        <sz val="10"/>
        <color indexed="8"/>
        <rFont val="Times New Roman CE"/>
        <charset val="238"/>
      </rPr>
      <t xml:space="preserve"> (GRANTY)</t>
    </r>
  </si>
  <si>
    <t>85415</t>
  </si>
  <si>
    <t xml:space="preserve">Stypendia dla uczniów </t>
  </si>
  <si>
    <r>
      <t>Wspieranie działań z zakresu opieki adopcyjno-wychowawczej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</si>
  <si>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</si>
  <si>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</si>
  <si>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</si>
  <si>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</si>
  <si>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</si>
  <si>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Przywrócenie równowagi ekologicznej na terenach gmin województwa kujawsko-pomorskiego w związku z budową autostrady A-1 w latach 2011-2015  </t>
    </r>
    <r>
      <rPr>
        <b/>
        <i/>
        <sz val="10"/>
        <color indexed="8"/>
        <rFont val="Times New Roman CE"/>
        <charset val="238"/>
      </rPr>
      <t>(IW)</t>
    </r>
  </si>
  <si>
    <r>
      <t xml:space="preserve">Edukacja społeczności zamieszkujących obszary chronione województwa kujawsko-pomorskiego: Lubię tu być na zielonym! </t>
    </r>
    <r>
      <rPr>
        <b/>
        <i/>
        <sz val="10"/>
        <color indexed="8"/>
        <rFont val="Times New Roman CE"/>
        <charset val="238"/>
      </rPr>
      <t>(POIŚ)</t>
    </r>
  </si>
  <si>
    <t>92105</t>
  </si>
  <si>
    <r>
      <t xml:space="preserve">Bydgoski Festiwal Operowy
</t>
    </r>
    <r>
      <rPr>
        <i/>
        <sz val="10"/>
        <color indexed="8"/>
        <rFont val="Times New Roman CE"/>
        <charset val="238"/>
      </rPr>
      <t>Opera NOVA w Bydgoszczy</t>
    </r>
  </si>
  <si>
    <r>
      <t xml:space="preserve">Bydgoski Festiwal Muzyczny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</si>
  <si>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Kwartalnik Artystyczny, Kujawy i Pomorze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</si>
  <si>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Festiwal Książki Obrazkowej dla dzieci "LiterObrazki"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</si>
  <si>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rPr>
        <sz val="10"/>
        <color indexed="8"/>
        <rFont val="Times New Roman CE"/>
        <charset val="238"/>
      </rPr>
      <t>Zakup zintegrowanego systemu finansowo-kadrowo-płacowego oraz oprogramowania do ewidencji środków trwałych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</si>
  <si>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Rozbudowa Opery Nova w Bydgoszczy o IV krąg wraz z infrastrukturą parkingową-przygotowanie inwestycji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</si>
  <si>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Wykonanie projektu przebudowy świetlików dachowych nad salą Manru w budynku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</si>
  <si>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Naprawa samochodu ciężarowego z przyczepą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</si>
  <si>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t xml:space="preserve">Modernizacja I i II balkonu w budynku głównym Teatru im. Wilama Horzycy w Toruniu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Teatr im. W. Horzycy w Toruniu</t>
    </r>
  </si>
  <si>
    <r>
      <rPr>
        <b/>
        <sz val="10"/>
        <color indexed="8"/>
        <rFont val="Times New Roman CE"/>
        <charset val="238"/>
      </rPr>
      <t>zmiana nazwy zadania z:</t>
    </r>
    <r>
      <rPr>
        <sz val="10"/>
        <color indexed="8"/>
        <rFont val="Times New Roman CE"/>
        <family val="1"/>
        <charset val="238"/>
      </rPr>
      <t xml:space="preserve">
Termomodernizacja oraz poprawa efektywności energetycznej w budynku zabytkowego Teatru im. Wilama Horzycy w Toruniu
</t>
    </r>
    <r>
      <rPr>
        <b/>
        <sz val="10"/>
        <color indexed="8"/>
        <rFont val="Times New Roman CE"/>
        <charset val="238"/>
      </rPr>
      <t xml:space="preserve">na:
</t>
    </r>
    <r>
      <rPr>
        <sz val="10"/>
        <color indexed="8"/>
        <rFont val="Times New Roman CE"/>
        <charset val="238"/>
      </rPr>
      <t>Wykonanie systemu wentylacji mechanicznej i klimatyzacji sali teatralnej, robót w zakresie termomodernizacji stolarki okiennej, drzwiowej i przegród zewnętrznych oraz modernizacji oświetlenia scenicznego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</si>
  <si>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Modernizacja parteru widowni dużej sceny Teatru im. Wilama Horzycy w Toruniu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</si>
  <si>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Edukacja kulturalna - Baśń - narzędzie pracy z dziećmi
</t>
    </r>
    <r>
      <rPr>
        <i/>
        <sz val="10"/>
        <color indexed="8"/>
        <rFont val="Times New Roman CE"/>
        <charset val="238"/>
      </rPr>
      <t>Teatr im. W. Horzycy w Toruniu</t>
    </r>
  </si>
  <si>
    <r>
      <rPr>
        <b/>
        <sz val="10"/>
        <color indexed="8"/>
        <rFont val="Times New Roman CE"/>
        <charset val="238"/>
      </rPr>
      <t>zmiana nazwy zadania z:</t>
    </r>
    <r>
      <rPr>
        <sz val="10"/>
        <color indexed="8"/>
        <rFont val="Times New Roman CE"/>
        <family val="1"/>
        <charset val="238"/>
      </rPr>
      <t xml:space="preserve">
Edukacja kulturalna - Młody Teatr - laboratorium działań młodzieży i seniorów
</t>
    </r>
    <r>
      <rPr>
        <b/>
        <sz val="10"/>
        <color indexed="8"/>
        <rFont val="Times New Roman CE"/>
        <charset val="238"/>
      </rPr>
      <t xml:space="preserve">na:
</t>
    </r>
    <r>
      <rPr>
        <sz val="10"/>
        <color indexed="8"/>
        <rFont val="Times New Roman CE"/>
        <charset val="238"/>
      </rPr>
      <t xml:space="preserve">Edukacja kulturalna - Młody Teatr 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</si>
  <si>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Promocja czytelnictwa - Czytanie, mocium panie! - aktywny program promocji czytelnictwa wokół twórczości Aleksandra Fredry
</t>
    </r>
    <r>
      <rPr>
        <i/>
        <sz val="10"/>
        <color indexed="8"/>
        <rFont val="Times New Roman CE"/>
        <charset val="238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</si>
  <si>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b/>
        <sz val="10"/>
        <color indexed="8"/>
        <rFont val="Times New Roman CE"/>
        <charset val="238"/>
      </rPr>
      <t>zmiana nazwy jednostki z: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 xml:space="preserve">Kujawsko-Pomorski Impresaryjny Teatr Muzyczny w Toruniu
</t>
    </r>
    <r>
      <rPr>
        <b/>
        <sz val="10"/>
        <color indexed="8"/>
        <rFont val="Times New Roman CE"/>
        <charset val="238"/>
      </rPr>
      <t xml:space="preserve">na: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</si>
  <si>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b/>
        <sz val="10"/>
        <color indexed="8"/>
        <rFont val="Times New Roman CE"/>
        <charset val="238"/>
      </rPr>
      <t>zmiana nazwy jednostki z:</t>
    </r>
    <r>
      <rPr>
        <i/>
        <sz val="10"/>
        <color indexed="8"/>
        <rFont val="Times New Roman CE"/>
        <charset val="238"/>
      </rPr>
      <t xml:space="preserve">
Kujawsko-Pomorski Impresaryjny Teatr Muzyczny w Toruniu
</t>
    </r>
    <r>
      <rPr>
        <b/>
        <sz val="10"/>
        <color indexed="8"/>
        <rFont val="Times New Roman CE"/>
        <charset val="238"/>
      </rPr>
      <t>na:</t>
    </r>
    <r>
      <rPr>
        <i/>
        <sz val="10"/>
        <color indexed="8"/>
        <rFont val="Times New Roman CE"/>
        <charset val="238"/>
      </rPr>
      <t xml:space="preserve">
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</si>
  <si>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b/>
        <sz val="10"/>
        <color indexed="8"/>
        <rFont val="Times New Roman CE"/>
        <charset val="238"/>
      </rPr>
      <t>zmiana nazwy jednostki z:</t>
    </r>
    <r>
      <rPr>
        <i/>
        <sz val="10"/>
        <color indexed="8"/>
        <rFont val="Times New Roman CE"/>
        <charset val="238"/>
      </rPr>
      <t xml:space="preserve">
Kujawsko-Pomorski Impresaryjny Teatr Muzyczny w Toruniu
</t>
    </r>
    <r>
      <rPr>
        <b/>
        <sz val="10"/>
        <color indexed="8"/>
        <rFont val="Times New Roman CE"/>
        <charset val="238"/>
      </rPr>
      <t>na:</t>
    </r>
    <r>
      <rPr>
        <i/>
        <sz val="10"/>
        <color indexed="8"/>
        <rFont val="Times New Roman CE"/>
        <charset val="238"/>
      </rPr>
      <t xml:space="preserve">
Kujawsko-Pomorski Teatr Muzyczny w Toruniu</t>
    </r>
  </si>
  <si>
    <r>
      <t>Rozszerzenie funkcjonalności teatralno-estradowej poprzez rozbudowę i doposażenie dawnego budynku kinoteatru Grunwald - przygotowanie dokumentacji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</si>
  <si>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Zakup sprzętu i wyposażenia dla Filharmonii Pomorskiej im. Ignacego Jana Paderewskiego w Bydgoszczy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</si>
  <si>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Rozbudowa i remont Filharmonii Pomorskiej w Bydgoszczy - przygotowanie dokumentacji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</si>
  <si>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Kujawsko-Pomorskie Centrum Kultury w Bydgoszczy - zakupy inwestycyjne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</si>
  <si>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Kultura ludowa i tradycyjna - XIX Ogólnopolski Przegląd Amatorskiej Tkaniny Unikatowej
</t>
    </r>
    <r>
      <rPr>
        <i/>
        <sz val="10"/>
        <color indexed="8"/>
        <rFont val="Times New Roman CE"/>
        <charset val="238"/>
      </rPr>
      <t>Wojewódzki Ośrodek Animacji Kultury w Toruniu</t>
    </r>
  </si>
  <si>
    <r>
      <t xml:space="preserve">Termomodernizacja zabytkowego budynku stajni-wozowni w Lubostroniu na potrzeby użytku publicznego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</si>
  <si>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Zakupy inwestycyjne dla Pałacu Lubostroń w Lubostroniu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</si>
  <si>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Muzyka - "Wakacje z Chopinem"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</si>
  <si>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Ośrodek Chopinowski w Szafarni - zakupy inwestycyjne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</si>
  <si>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Dostosowanie istniejących pomieszczeń sanitarnych dla potrzeb osób niepełnosprawnych w Galerii i Ośrodku Plastycznej Twórczości Dziecka w Toruniu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</si>
  <si>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Wykonanie izolacji stropodachu w budynku Książnicy przy ul. Słowackiego 8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</si>
  <si>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Dyskusyjne Kluby Książki w województwie kujawsko-pomorskim, w podregionie toruńsko-włocławskim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</si>
  <si>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rPr>
        <b/>
        <sz val="10"/>
        <color indexed="8"/>
        <rFont val="Times New Roman CE"/>
        <charset val="238"/>
      </rPr>
      <t>zmiana nazwy zadania z:</t>
    </r>
    <r>
      <rPr>
        <sz val="10"/>
        <color indexed="8"/>
        <rFont val="Times New Roman CE"/>
        <family val="1"/>
        <charset val="238"/>
      </rPr>
      <t xml:space="preserve">
Partnerstwo dla książki - Literackie przygody młodych - gry wyobraźni w służbie książce
</t>
    </r>
    <r>
      <rPr>
        <b/>
        <sz val="10"/>
        <color indexed="8"/>
        <rFont val="Times New Roman CE"/>
        <charset val="238"/>
      </rPr>
      <t>na:</t>
    </r>
    <r>
      <rPr>
        <sz val="10"/>
        <color indexed="8"/>
        <rFont val="Times New Roman CE"/>
        <family val="1"/>
        <charset val="238"/>
      </rPr>
      <t xml:space="preserve">
Partnerstwo dla książki - Literackie przygody młodych - gry fabularne w służbie książce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</si>
  <si>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Wydanie tomów 20-22 punktowanego czasopisma naukowego "Folia Toruniensia"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</si>
  <si>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Kultura cyfrowa - Kujawsko-pomorska prasa cyfrowa 1920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</si>
  <si>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Narodowy Program Rozwoju Czytelnictwa - Zakup nowości wydawniczych dla bibliotek publicznych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</si>
  <si>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Zakup wyposażenia na potrzeby Mediateki przy ul. Fałata 35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</si>
  <si>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rPr>
        <b/>
        <sz val="10"/>
        <color indexed="8"/>
        <rFont val="Times New Roman CE"/>
        <charset val="238"/>
      </rPr>
      <t>Zmiana nazwy zadania z:</t>
    </r>
    <r>
      <rPr>
        <sz val="10"/>
        <color indexed="8"/>
        <rFont val="Times New Roman CE"/>
        <family val="1"/>
        <charset val="238"/>
      </rPr>
      <t xml:space="preserve">
Dostosowanie wejścia dla potrzeb osób niepełnosprawnych w budynku Wojewódzkiej i Miejskiej Biblioteki Publicznej w Bydgoszczy
</t>
    </r>
    <r>
      <rPr>
        <b/>
        <sz val="10"/>
        <color indexed="8"/>
        <rFont val="Times New Roman CE"/>
        <charset val="238"/>
      </rPr>
      <t>na:</t>
    </r>
    <r>
      <rPr>
        <sz val="10"/>
        <color indexed="8"/>
        <rFont val="Times New Roman CE"/>
        <family val="1"/>
        <charset val="238"/>
      </rPr>
      <t xml:space="preserve">
Droga do Nowoczesności - przebudowa i rozbudowa kompleksu budynków Wojewódzkiej i Miejskiej Biblioteki Publicznej im dr. Witolda Bełzy w Bydgoszczy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</si>
  <si>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Zakupy inwestycyjne dla Wojewódzkiej i Miejskiej Biblioteki Publicznej 
w Bydgoszczy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</si>
  <si>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Partnerstwo dla książki - Śladem bydgoskich legend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</si>
  <si>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Kultura cyfrowa - Zabytki sztuki typograficznej europejskiego renesansu ze zbiorów Książnicy bydgoskiej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</si>
  <si>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Dyskusyjne Kluby Książki podregionu bydgoskiego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</si>
  <si>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t>Dofinansowanie Muzeum Ziemi Pałuckiej w Żninie - wsparcie finansowe</t>
  </si>
  <si>
    <r>
      <t xml:space="preserve">Rewaloryzacja i adaptacja zabytkowego spichlerza dworskiego w Kłóbce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</si>
  <si>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Wymiana nieszczelnego pieca CO w Muzeum Stanisława Noakowskiego w Nieszawie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</si>
  <si>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Wspieranie działań muzealnych - Barwne, posażne, ocalenia warte. Konserwacja zabytkowych skrzyń posagowych z Kujaw i ziemi dobrzyńskiej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</si>
  <si>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Wspieranie działań muzealnych - Zakup wyposażenia do Pracowni Konserwatorskiej Muzeum Ziemi Kujawskiej i Dobrzyńskiej we Włocławku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</si>
  <si>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Modernizacja sieci wodociągowej przeciwpożarowej na terenie Muzeum Etnograficznego w Toruniu
</t>
    </r>
    <r>
      <rPr>
        <i/>
        <sz val="10"/>
        <color indexed="8"/>
        <rFont val="Times New Roman CE"/>
        <charset val="238"/>
      </rPr>
      <t>Muzeum Etnograficzne w Toruniu</t>
    </r>
  </si>
  <si>
    <r>
      <t>Modernizacja sieci wodociągowej przeciwpożarowej na terenie Muzeum Etnograficznego w Toruniu -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</si>
  <si>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 xml:space="preserve">Kultura ludowa i tradycyjna - Wydanie książki pt. "Akwizytorzy szczęścia. O dawnych i współczesnych kolędnikach"
</t>
    </r>
    <r>
      <rPr>
        <i/>
        <sz val="10"/>
        <color indexed="8"/>
        <rFont val="Times New Roman CE"/>
        <charset val="238"/>
      </rPr>
      <t>Muzeum Etnograficzne w Toruniu</t>
    </r>
  </si>
  <si>
    <r>
      <t xml:space="preserve">Odbudowa - modernizacja rekonstrukcji wału obronnego z wieżą oraz pomostem
</t>
    </r>
    <r>
      <rPr>
        <i/>
        <sz val="10"/>
        <color indexed="8"/>
        <rFont val="Times New Roman CE"/>
        <charset val="238"/>
      </rPr>
      <t>Muzeum Archeologiczne w Biskupinie</t>
    </r>
  </si>
  <si>
    <r>
      <t xml:space="preserve">Ochrona zabytków archeologicznych - Gromadne znalezisko przedmiotów metalowych kultury łużyckiej z Brudzynia, pow. Żnin
</t>
    </r>
    <r>
      <rPr>
        <i/>
        <sz val="10"/>
        <color indexed="8"/>
        <rFont val="Times New Roman CE"/>
        <charset val="238"/>
      </rPr>
      <t>Muzeum Archeologiczne w Biskupinie</t>
    </r>
  </si>
  <si>
    <r>
      <t xml:space="preserve">Wspieranie działań muzealnych - Wystawa stała "Archeologia w Biskupinie. Osada obronna na półwyspie"
</t>
    </r>
    <r>
      <rPr>
        <i/>
        <sz val="10"/>
        <color indexed="8"/>
        <rFont val="Times New Roman CE"/>
        <charset val="238"/>
      </rPr>
      <t>Muzeum Archeologiczne w Biskupinie</t>
    </r>
  </si>
  <si>
    <r>
      <t xml:space="preserve">Infrastruktura kultury - Wyposażenie sali wystaw czasowych
</t>
    </r>
    <r>
      <rPr>
        <i/>
        <sz val="10"/>
        <color indexed="8"/>
        <rFont val="Times New Roman CE"/>
        <charset val="238"/>
      </rPr>
      <t>Muzeum Archeologiczne w Biskupinie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</si>
  <si>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</si>
  <si>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Times New Roman CE"/>
        <charset val="238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</si>
  <si>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</si>
  <si>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</si>
  <si>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Festiwale organizowane przez Teatr im. W. Horzycy w Toruniu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</si>
  <si>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Międzynarodowy Konkurs Pianistyczny im. Fryderyka Chopina dla Dzieci i Młodzieży w Szafarni 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Ośrodek Chopinowski w Szafarni</t>
    </r>
  </si>
  <si>
    <t xml:space="preserve">Budowa Pomnika Żołnierzy Wojsk Balonowych
</t>
  </si>
  <si>
    <r>
      <t>Zadania w zakresie upowszechniania kultury fizycznej i sportu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</si>
  <si>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Programy Sportu Powszechnego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</si>
  <si>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Mała architektura i budowa infrastruktury sportowej przy obiektach edukacyjnych - </t>
    </r>
    <r>
      <rPr>
        <b/>
        <i/>
        <sz val="10"/>
        <color indexed="8"/>
        <rFont val="Times New Roman CE"/>
        <charset val="238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</si>
  <si>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</si>
  <si>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</si>
  <si>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</si>
  <si>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</si>
  <si>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</si>
  <si>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</si>
  <si>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</si>
  <si>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>Załącznik nr 10 do uchwały</t>
  </si>
  <si>
    <t>z dnia  .12.2020 r.</t>
  </si>
  <si>
    <t xml:space="preserve">                                                                                  Załącznik nr 11 do uchwały Nr   /     /20</t>
  </si>
  <si>
    <t xml:space="preserve">                                                                                  Sejmiku Województwa z dnia   .12.2020 r.          </t>
  </si>
  <si>
    <t xml:space="preserve">                                                                                                </t>
  </si>
  <si>
    <r>
      <t xml:space="preserve">W załączniku nr 11 </t>
    </r>
    <r>
      <rPr>
        <b/>
        <sz val="10"/>
        <rFont val="Times New Roman CE"/>
        <charset val="238"/>
      </rPr>
      <t>"Dochody i wydatki na zadania wykonywane na mocy porozumień z organami administracji rządowej. Plan na 2020 rok"</t>
    </r>
    <r>
      <rPr>
        <sz val="10"/>
        <rFont val="Times New Roman CE"/>
        <family val="1"/>
        <charset val="238"/>
      </rPr>
      <t>do uchwały XII/262/19 Sejmiku Województwa Kujawsko-Pomorskiego z dnia 16 grudnia 2019 r. w sprawie budżetu województwa na rok 2020 (z późn. zm.), wprowadza się następujące zmiany:</t>
    </r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</si>
  <si>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</si>
  <si>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</si>
  <si>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</si>
  <si>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</si>
  <si>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</si>
  <si>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</si>
  <si>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</si>
  <si>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</si>
  <si>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Pomoc Techniczna Programu Operacyjnego "Rybactwo i Morze 2014-2020"</t>
  </si>
  <si>
    <t>Minister Finansów, Inwestycji i Rozwoju</t>
  </si>
  <si>
    <t>Punkty Informacyjne Funduszy Europejskich Województwa Kujawsko-Pomorskiego - Program Operacyjny Pomoc Techniczna</t>
  </si>
  <si>
    <t>Wsparcie gmin w przygotowaniu i koordynacji programów rewitalizacji  - Program Operacyjny Pomoc Techniczna</t>
  </si>
  <si>
    <t>Wspieranie doradztwa metodycznego</t>
  </si>
  <si>
    <t>a - plan przed zmianą</t>
  </si>
  <si>
    <t>b - zmiana</t>
  </si>
  <si>
    <t>c - plan po zmianie</t>
  </si>
  <si>
    <t xml:space="preserve">                                                                              </t>
  </si>
  <si>
    <t>Załącznik nr 12 do uchwały Nr   /    /20</t>
  </si>
  <si>
    <t xml:space="preserve">                                                                                 </t>
  </si>
  <si>
    <t xml:space="preserve">Sejmiku Województwa z dnia   .12.2020 r.          </t>
  </si>
  <si>
    <r>
      <t xml:space="preserve">W załączniku nr 12 </t>
    </r>
    <r>
      <rPr>
        <b/>
        <sz val="10"/>
        <rFont val="Times New Roman CE"/>
        <charset val="238"/>
      </rPr>
      <t>"Dochody i wydatki na zadania realizowane w drodze umów i porozumień między jednostkami samorządu terytorialnego. Plan na 2020 rok"</t>
    </r>
    <r>
      <rPr>
        <sz val="10"/>
        <rFont val="Times New Roman CE"/>
        <family val="1"/>
        <charset val="238"/>
      </rPr>
      <t xml:space="preserve"> do uchwały XII/262/19 Sejmiku Województwa Kujawsko-Pomorskiego z dnia 16 grudnia 2019 r. w sprawie budżetu województwa na rok 2020 (z późn. zm.), wprowadza się następujące zmiany:</t>
    </r>
  </si>
  <si>
    <t>Dochody od JST</t>
  </si>
  <si>
    <t>Jednostka Samorządu Terytorialnego</t>
  </si>
  <si>
    <t>Województwo Mazowieckie</t>
  </si>
  <si>
    <t>Województwo Pomorskie</t>
  </si>
  <si>
    <t>Gmina Sępólno Krajeńskie</t>
  </si>
  <si>
    <t>Opracowanie dokumentacji projektowej dla rozbudowy skrzyżowania drogi woj. Nr 241 Tuchola-Sępólno Krajeńskie-Rogoźno (ul. Kościuszki) z ul. Odrodzenia i ul. Ks. Jerzego Popiełuszki w m. Sępólno Krajeńskie</t>
  </si>
  <si>
    <t>Gmina Bądkowo</t>
  </si>
  <si>
    <t>Opracowanie dokumentacji projektowej dla przebudowy drogi wojewódzkiej Nr 301 Janowice-Tadzin-Bądkowo-Krotoszyn-Osięciny na odc. od km 2+290 do km 18+295,5 oraz od km 18+892,5 do km 19+226 dł. 16,339 km</t>
  </si>
  <si>
    <t>Gmina Osielsko</t>
  </si>
  <si>
    <t>Opracowanie dokumentacji projektowej dla rozbudowy drogi wojewódzkiej nr 244 Kamieniec-Strzelce Dolne m. Żołędowo ul. Jastrzębia od km 30+068 do km 33+342, dł. 3,274 km</t>
  </si>
  <si>
    <t>Gmina Tuchola</t>
  </si>
  <si>
    <t>Przebudowa drogi wojewódzkiej Nr 240 Chojnice-Świecie, odc. Bladowo - Tuchola od km 20+138 do km 21+128, dł. 0,990 km</t>
  </si>
  <si>
    <t>Gminy</t>
  </si>
  <si>
    <r>
      <t>Przebudowa wraz z rozbudową drogi wojewódzkiej nr 265 Brześć Kujawski-Gostynin od km 0+003 do km 19+117 w zakresie dotyczącym budowy ciągów pieszo-rowerowych -</t>
    </r>
    <r>
      <rPr>
        <b/>
        <i/>
        <sz val="10"/>
        <rFont val="Times New Roman CE"/>
        <charset val="238"/>
      </rPr>
      <t xml:space="preserve"> RPO, Dz.3.4</t>
    </r>
  </si>
  <si>
    <t>Gminy
Powiaty</t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</si>
  <si>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Times New Roman CE"/>
        <charset val="238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</si>
  <si>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Times New Roman CE"/>
        <charset val="238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</si>
  <si>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Times New Roman CE"/>
        <charset val="238"/>
      </rPr>
      <t>RPO, Dz.3.5.2</t>
    </r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</si>
  <si>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Times New Roman CE"/>
        <charset val="238"/>
      </rPr>
      <t>RPO, Dz.3.5.2</t>
    </r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</si>
  <si>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Times New Roman CE"/>
        <charset val="238"/>
      </rPr>
      <t>RPO, Dz.3.5.2</t>
    </r>
  </si>
  <si>
    <r>
      <t>Rozbudowa drogi wojewódzkiej Nr 251 Kaliska-Inowrocław na odcinku od km 19+649 (od granicy województwa kujawsko-pomorskiego) do km 34+200 oraz od km 34+590,30 do km 35+290 wraz z przebudową mostu na rzece Gąsawka w miejscowości Żnin -</t>
    </r>
    <r>
      <rPr>
        <b/>
        <i/>
        <sz val="10"/>
        <rFont val="Times New Roman CE"/>
        <charset val="238"/>
      </rPr>
      <t xml:space="preserve"> RPO, Dz.5.1</t>
    </r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</si>
  <si>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Times New Roman CE"/>
        <charset val="238"/>
      </rPr>
      <t>RPO, Dz.5.1</t>
    </r>
  </si>
  <si>
    <r>
      <t>Rozbudowa drogi wojewódzkiej Nr 548 Stolno-Wąbrzeźno od km 0+005 do km 29+619 z wyłączeniem węzła autostradowego w m. Lisewo od km 14+144 do km 15+146 -</t>
    </r>
    <r>
      <rPr>
        <b/>
        <i/>
        <sz val="10"/>
        <rFont val="Times New Roman CE"/>
        <charset val="238"/>
      </rPr>
      <t xml:space="preserve"> RPO, Dz.5.1</t>
    </r>
  </si>
  <si>
    <r>
      <t xml:space="preserve">Przebudowa i rozbudowa drogi wojewódzkiej Nr 559 na odcinku Lipno - Kamień Kotowy - granica województwa - </t>
    </r>
    <r>
      <rPr>
        <b/>
        <i/>
        <sz val="10"/>
        <rFont val="Times New Roman CE"/>
        <charset val="238"/>
      </rPr>
      <t>RPO, Dz.5.1</t>
    </r>
  </si>
  <si>
    <t>Program "Drogowa Inicjatywa Samorządowa"</t>
  </si>
  <si>
    <t>Program "Przeciwdziałanie wykluczeniu cyfrowemu osób najuboższych oraz niepełnosprawnych"</t>
  </si>
  <si>
    <r>
      <t xml:space="preserve">Infostrada Kujaw i Pomorza 2.0 - </t>
    </r>
    <r>
      <rPr>
        <b/>
        <i/>
        <sz val="10"/>
        <rFont val="Times New Roman CE"/>
        <charset val="238"/>
      </rPr>
      <t>RPO, Dz.2.1</t>
    </r>
  </si>
  <si>
    <r>
      <t xml:space="preserve">Invest in BiT CITY 2. Promocja potencjału gospodarczego oraz promocja atrakcyjności inwestycyjnej miast prezydenckich województwa kujawsko-pomorskiego - </t>
    </r>
    <r>
      <rPr>
        <b/>
        <i/>
        <sz val="10"/>
        <rFont val="Times New Roman CE"/>
        <charset val="238"/>
      </rPr>
      <t>RPO, Dz.1.5.2</t>
    </r>
  </si>
  <si>
    <r>
      <t xml:space="preserve">Expressway - promocja terenów inwestycyjnych - </t>
    </r>
    <r>
      <rPr>
        <b/>
        <i/>
        <sz val="10"/>
        <rFont val="Times New Roman CE"/>
        <charset val="238"/>
      </rPr>
      <t>RPO, Dz.1.5.2</t>
    </r>
  </si>
  <si>
    <r>
      <t xml:space="preserve">Dokształcanie uczniów
</t>
    </r>
    <r>
      <rPr>
        <i/>
        <sz val="10"/>
        <rFont val="Times New Roman CE"/>
        <charset val="238"/>
      </rPr>
      <t xml:space="preserve">Kujawsko-Pomorskie Centrum Kształcenia Zawodowego w Bydgoszczy
</t>
    </r>
  </si>
  <si>
    <t xml:space="preserve">Gmina Osielsko
</t>
  </si>
  <si>
    <r>
      <t xml:space="preserve">Zapobieganie, przeciwdziałanie i zwalczanie zakażeń i choroby zakaźnej wywołanej wirusem SARS-CoV-2, zwanej "COVID-19"
</t>
    </r>
    <r>
      <rPr>
        <i/>
        <sz val="10"/>
        <rFont val="Times New Roman CE"/>
        <charset val="238"/>
      </rPr>
      <t xml:space="preserve">Wojewódzki Szpital Obserwacyjno-Zakaźny im. T. Browicza w Bydgoszczy
</t>
    </r>
    <r>
      <rPr>
        <sz val="10"/>
        <rFont val="Times New Roman CE"/>
        <charset val="238"/>
      </rPr>
      <t xml:space="preserve">
</t>
    </r>
  </si>
  <si>
    <t>Miasto Toruń</t>
  </si>
  <si>
    <t>Finansowanie programów edukacyjno-profilaktycznych realizowanych przez Wojewódzki Ośrodek Terapii Uzależnień i Współuzależnienia w Toruniu</t>
  </si>
  <si>
    <t>Kujawsko-Pomorska Niebieska Linia - przeciwdziałanie przemocy w rodzinie</t>
  </si>
  <si>
    <t>92105
92195</t>
  </si>
  <si>
    <t>Miasto Bydgoszcz</t>
  </si>
  <si>
    <t>Bydgoski Festiwal Operowy
Opera NOVA w Bydgoszczy</t>
  </si>
  <si>
    <t>Bydgoski Festiwal Muzyczny
Filharmonia Pomorska w Bydgoszczy</t>
  </si>
  <si>
    <t>92105
92109</t>
  </si>
  <si>
    <t>Kwartalnik Artystyczny, Kujawy i Pomorze
Kujawsko-Pomorskie Centrum Kultury w Bydgoszczy</t>
  </si>
  <si>
    <t>92105
92116</t>
  </si>
  <si>
    <t>Festiwal Książki Obrazkowej dla Dzieci "LiterObrazki"
Wojewódzka i Miejska Biblioteka Publiczna w Bydgoszczy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</si>
  <si>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</si>
  <si>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</si>
  <si>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</si>
  <si>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r>
      <t>"Droga do Nowoczesności" - remont dachu i adaptacja pomieszczeń magazynowych w zabytkowym budynku przy ul. Stary Rynek 22 w Bydgoszczy</t>
    </r>
    <r>
      <rPr>
        <b/>
        <i/>
        <sz val="10"/>
        <rFont val="Times New Roman CE"/>
        <charset val="238"/>
      </rPr>
      <t xml:space="preserve"> - RPO, Dz.4.6.2</t>
    </r>
    <r>
      <rPr>
        <sz val="10"/>
        <rFont val="Times New Roman CE"/>
        <charset val="238"/>
      </rPr>
      <t xml:space="preserve">
Wojewódzka i Miejska Biblioteka Publiczna w Bydgoszczy</t>
    </r>
  </si>
  <si>
    <r>
      <t xml:space="preserve">"Droga do Nowoczesności" - prace remontowo-konserwatorskie zabytkowej klatki schodowej budynku przy ul. Długiej 39 w Bydgoszczy </t>
    </r>
    <r>
      <rPr>
        <b/>
        <i/>
        <sz val="10"/>
        <rFont val="Times New Roman CE"/>
        <charset val="238"/>
      </rPr>
      <t xml:space="preserve"> - RPO, Dz.4.6.2</t>
    </r>
    <r>
      <rPr>
        <sz val="10"/>
        <rFont val="Times New Roman CE"/>
        <charset val="238"/>
      </rPr>
      <t xml:space="preserve">
Wojewódzka i Miejska Biblioteka Publiczna w Bydgoszczy </t>
    </r>
  </si>
  <si>
    <t xml:space="preserve">Droga do Nowoczesności - przebudowa i rozbudowa kompleksu budynków Wojewódzkiej i Miejskiej Biblioteki Publicznej im dr. Witolda Bełzy w Bydgoszczy
Wojewódzka i Miejska Biblioteka Publiczna w Bydgoszczy </t>
  </si>
  <si>
    <t>Dofinansowanie działalności statutowej Wojewódzkiej Biblioteki Publicznej - Książnicy Kopernikańskiej w Toruniu</t>
  </si>
  <si>
    <t>Miasto Grudziądz</t>
  </si>
  <si>
    <r>
      <t xml:space="preserve">Modernizacja zagrody wiejskiej w Dusocinie na potrzeby ośrodka edukacji ekologicznej na terenie Parku Krajobrazowego "Góry Łosiowe" wraz z czynną ochroną przyrody na obszarze Natura 2000 - </t>
    </r>
    <r>
      <rPr>
        <b/>
        <i/>
        <sz val="10"/>
        <rFont val="Times New Roman CE"/>
        <charset val="238"/>
      </rPr>
      <t>RPO, Dz.4.5</t>
    </r>
  </si>
  <si>
    <t>RPO - Regionalny Program Operacyjny Województwa Kujawsko-Pomorskiego</t>
  </si>
  <si>
    <t xml:space="preserve">Nr       /        /20 Sejmiku Województwa </t>
  </si>
  <si>
    <r>
      <t>W załączniku nr 13</t>
    </r>
    <r>
      <rPr>
        <b/>
        <sz val="10"/>
        <rFont val="Times New Roman"/>
        <family val="1"/>
        <charset val="238"/>
      </rPr>
      <t xml:space="preserve"> "Dochody gromadzone na wydzielonych rachunkach oraz wydatki nimi finansowane. Plan na 2020 rok"</t>
    </r>
    <r>
      <rPr>
        <sz val="10"/>
        <rFont val="Times New Roman"/>
        <family val="1"/>
        <charset val="238"/>
      </rPr>
      <t xml:space="preserve"> do uchwały Nr  XII/262/19 Sejmiku Województwa Kujawsko-Pomorskiego z dnia 16 grudnia 2019 r. w sprawie budżetu województwa na rok 2020 (z późn. zm.), wprowadza się następujące zmiany:</t>
    </r>
  </si>
  <si>
    <t>Jednostka</t>
  </si>
  <si>
    <t>Stan środków pieniężnych na początek okresu</t>
  </si>
  <si>
    <t>Stan środków pieniężnych na koniec 
okresu</t>
  </si>
  <si>
    <t xml:space="preserve">Biblioteka Pedagogiczna im. gen. bryg. prof. Elżbiety Zawackiej w Toruniu </t>
  </si>
  <si>
    <t>Kujawsko-Pomorskie Centrum Edukacji Nauczycieli w Toruniu</t>
  </si>
  <si>
    <t>Kujawsko-Pomorskie Centrum Edukacji Nauczycieli we Włocławku</t>
  </si>
  <si>
    <t>Kujawsko-Pomorski Specjalny Ośrodek Szkolno-Wychowawczy nr 1 dla Dzieci i Młodzieży Słabo Widzącej i Niewidomej im. Louisa Braille'a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</si>
  <si>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</si>
  <si>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</si>
  <si>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</si>
  <si>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
i Ustawicznego w Inowrocławiu</t>
  </si>
  <si>
    <t>10.</t>
  </si>
  <si>
    <t>Medyczno-Społeczne Centrum Kształcenia Zawodowego 
i Ustawicznego w Toruniu</t>
  </si>
  <si>
    <t>11.</t>
  </si>
  <si>
    <t>Pedagogiczna Biblioteka Wojewódzka im. Mariana Rejewskiego w Bydgoszczy</t>
  </si>
  <si>
    <t>12.</t>
  </si>
  <si>
    <t>Zespół Szkół Nr 33 Specjalnych dla Dzieci i Młodzieży Przewlekle Chorej w Bydgoszczy</t>
  </si>
  <si>
    <t>a - plan na 2020 r.</t>
  </si>
  <si>
    <t>b - zmiany</t>
  </si>
  <si>
    <t>Załącznik nr 13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</si>
</sst>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95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PL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3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sz val="11"/>
      <name val="Times New Roman CE"/>
      <charset val="238"/>
    </font>
    <font>
      <i/>
      <sz val="11"/>
      <name val="Times New Roman CE"/>
      <charset val="238"/>
    </font>
    <font>
      <b/>
      <i/>
      <sz val="10"/>
      <name val="Times New Roman CE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</font>
    <font>
      <sz val="8"/>
      <name val="Times New Roman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b/>
      <i/>
      <u/>
      <sz val="10"/>
      <name val="Times New Roman CE"/>
      <charset val="238"/>
    </font>
    <font>
      <sz val="12"/>
      <name val="Times New Roman"/>
      <family val="1"/>
      <charset val="238"/>
    </font>
    <font>
      <b/>
      <sz val="16"/>
      <name val="Times New Roman CE"/>
      <charset val="238"/>
    </font>
    <font>
      <sz val="16"/>
      <name val="Times New Roman CE"/>
      <charset val="238"/>
    </font>
    <font>
      <sz val="11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12"/>
      <name val="Arial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8"/>
      <name val="Times New Roman CE"/>
      <family val="1"/>
      <charset val="238"/>
    </font>
    <font>
      <i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b/>
      <i/>
      <sz val="10"/>
      <color indexed="8"/>
      <name val="Times New Roman CE"/>
      <charset val="238"/>
    </font>
    <font>
      <b/>
      <i/>
      <sz val="10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i/>
      <sz val="10"/>
      <color indexed="8"/>
      <name val="Times New Roman CE"/>
      <family val="1"/>
      <charset val="238"/>
    </font>
    <font>
      <b/>
      <i/>
      <sz val="11"/>
      <color indexed="8"/>
      <name val="Times New Roman CE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0">
    <xf numFmtId="0" fontId="0" fillId="0" borderId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0" fontId="1" fillId="0" borderId="0"/>
    <xf numFmtId="0" fontId="1" fillId="0" borderId="0"/>
    <xf numFmtId="0" fontId="85" fillId="0" borderId="0"/>
    <xf numFmtId="0" fontId="29" fillId="0" borderId="0"/>
    <xf numFmtId="0" fontId="86" fillId="0" borderId="0"/>
    <xf numFmtId="0" fontId="86" fillId="0" borderId="0"/>
    <xf numFmtId="0" fontId="85" fillId="0" borderId="0"/>
    <xf numFmtId="0" fontId="2" fillId="0" borderId="0"/>
    <xf numFmtId="0" fontId="29" fillId="0" borderId="0"/>
    <xf numFmtId="0" fontId="2" fillId="0" borderId="0"/>
    <xf numFmtId="0" fontId="86" fillId="0" borderId="0"/>
    <xf numFmtId="0" fontId="29" fillId="0" borderId="0"/>
    <xf numFmtId="0" fontId="3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0" fontId="4" fillId="0" borderId="0"/>
  </cellStyleXfs>
  <cellXfs count="157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3" fontId="6" fillId="0" borderId="0" xfId="0" applyNumberFormat="1" applyFont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4" fontId="11" fillId="0" borderId="1" xfId="0" applyNumberFormat="1" applyFont="1" applyBorder="1" applyAlignment="1">
      <alignment horizontal="center" wrapText="1"/>
    </xf>
    <xf numFmtId="4" fontId="11" fillId="2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5" fillId="0" borderId="0" xfId="0" applyNumberFormat="1" applyFont="1" applyFill="1" applyAlignment="1">
      <alignment vertical="top"/>
    </xf>
    <xf numFmtId="4" fontId="11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1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11" fillId="2" borderId="1" xfId="0" applyNumberFormat="1" applyFont="1" applyFill="1" applyBorder="1" applyAlignment="1">
      <alignment vertical="top"/>
    </xf>
    <xf numFmtId="4" fontId="11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vertical="top"/>
    </xf>
    <xf numFmtId="4" fontId="10" fillId="0" borderId="0" xfId="0" applyNumberFormat="1" applyFont="1"/>
    <xf numFmtId="0" fontId="10" fillId="0" borderId="0" xfId="0" applyFont="1"/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9" fontId="5" fillId="0" borderId="0" xfId="0" applyNumberFormat="1" applyFont="1" applyAlignment="1" applyProtection="1">
      <alignment horizontal="left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justify" wrapText="1"/>
    </xf>
    <xf numFmtId="0" fontId="7" fillId="0" borderId="2" xfId="0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3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49" fontId="5" fillId="0" borderId="0" xfId="0" applyNumberFormat="1" applyFont="1" applyFill="1" applyAlignment="1" applyProtection="1">
      <alignment horizontal="left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wrapText="1"/>
    </xf>
    <xf numFmtId="3" fontId="9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8" fillId="0" borderId="6" xfId="0" applyNumberFormat="1" applyFont="1" applyFill="1" applyBorder="1" applyAlignment="1">
      <alignment vertical="center" wrapText="1"/>
    </xf>
    <xf numFmtId="4" fontId="10" fillId="0" borderId="9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/>
    <xf numFmtId="4" fontId="5" fillId="0" borderId="10" xfId="0" applyNumberFormat="1" applyFont="1" applyFill="1" applyBorder="1"/>
    <xf numFmtId="4" fontId="5" fillId="0" borderId="1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4" fontId="8" fillId="0" borderId="9" xfId="0" applyNumberFormat="1" applyFont="1" applyFill="1" applyBorder="1"/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4" fontId="5" fillId="0" borderId="9" xfId="0" applyNumberFormat="1" applyFont="1" applyFill="1" applyBorder="1"/>
    <xf numFmtId="4" fontId="5" fillId="0" borderId="8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vertical="center"/>
    </xf>
    <xf numFmtId="4" fontId="24" fillId="0" borderId="9" xfId="0" applyNumberFormat="1" applyFont="1" applyFill="1" applyBorder="1" applyAlignment="1">
      <alignment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4" fontId="24" fillId="0" borderId="9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left" wrapText="1"/>
    </xf>
    <xf numFmtId="49" fontId="24" fillId="0" borderId="1" xfId="0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right" wrapText="1"/>
    </xf>
    <xf numFmtId="4" fontId="24" fillId="0" borderId="1" xfId="0" applyNumberFormat="1" applyFont="1" applyFill="1" applyBorder="1" applyAlignment="1"/>
    <xf numFmtId="4" fontId="24" fillId="0" borderId="9" xfId="0" applyNumberFormat="1" applyFont="1" applyFill="1" applyBorder="1" applyAlignment="1"/>
    <xf numFmtId="4" fontId="24" fillId="0" borderId="8" xfId="0" applyNumberFormat="1" applyFont="1" applyFill="1" applyBorder="1" applyAlignment="1">
      <alignment horizontal="left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/>
    <xf numFmtId="4" fontId="5" fillId="0" borderId="1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right" wrapText="1"/>
    </xf>
    <xf numFmtId="4" fontId="5" fillId="0" borderId="6" xfId="0" applyNumberFormat="1" applyFont="1" applyFill="1" applyBorder="1"/>
    <xf numFmtId="4" fontId="5" fillId="0" borderId="13" xfId="0" applyNumberFormat="1" applyFont="1" applyFill="1" applyBorder="1"/>
    <xf numFmtId="4" fontId="5" fillId="0" borderId="7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 applyAlignment="1">
      <alignment horizontal="left" vertical="center" wrapText="1"/>
    </xf>
    <xf numFmtId="4" fontId="24" fillId="0" borderId="11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left" wrapText="1"/>
    </xf>
    <xf numFmtId="4" fontId="5" fillId="0" borderId="14" xfId="0" applyNumberFormat="1" applyFont="1" applyFill="1" applyBorder="1"/>
    <xf numFmtId="4" fontId="5" fillId="0" borderId="14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/>
    <xf numFmtId="4" fontId="5" fillId="0" borderId="14" xfId="0" applyNumberFormat="1" applyFont="1" applyFill="1" applyBorder="1" applyAlignment="1"/>
    <xf numFmtId="4" fontId="5" fillId="0" borderId="12" xfId="0" applyNumberFormat="1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right" wrapText="1"/>
    </xf>
    <xf numFmtId="4" fontId="8" fillId="0" borderId="8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wrapText="1"/>
    </xf>
    <xf numFmtId="4" fontId="11" fillId="0" borderId="4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wrapText="1"/>
    </xf>
    <xf numFmtId="4" fontId="5" fillId="0" borderId="11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/>
    <xf numFmtId="0" fontId="8" fillId="0" borderId="4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/>
    <xf numFmtId="4" fontId="8" fillId="0" borderId="10" xfId="0" applyNumberFormat="1" applyFont="1" applyFill="1" applyBorder="1"/>
    <xf numFmtId="4" fontId="8" fillId="0" borderId="11" xfId="0" applyNumberFormat="1" applyFont="1" applyFill="1" applyBorder="1"/>
    <xf numFmtId="4" fontId="5" fillId="0" borderId="4" xfId="0" applyNumberFormat="1" applyFont="1" applyFill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vertical="center"/>
    </xf>
    <xf numFmtId="4" fontId="24" fillId="0" borderId="1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/>
    <xf numFmtId="4" fontId="5" fillId="0" borderId="9" xfId="0" applyNumberFormat="1" applyFont="1" applyFill="1" applyBorder="1" applyAlignment="1"/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11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wrapText="1"/>
    </xf>
    <xf numFmtId="0" fontId="5" fillId="0" borderId="14" xfId="0" applyFont="1" applyFill="1" applyBorder="1" applyAlignment="1">
      <alignment horizont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49" fontId="24" fillId="0" borderId="8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4" fontId="8" fillId="0" borderId="4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/>
    <xf numFmtId="4" fontId="10" fillId="0" borderId="1" xfId="0" applyNumberFormat="1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" fontId="5" fillId="0" borderId="4" xfId="0" applyNumberFormat="1" applyFont="1" applyFill="1" applyBorder="1" applyAlignment="1"/>
    <xf numFmtId="4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0" xfId="10" applyFont="1" applyFill="1"/>
    <xf numFmtId="0" fontId="5" fillId="0" borderId="0" xfId="10" applyFont="1" applyFill="1" applyAlignment="1">
      <alignment horizontal="center"/>
    </xf>
    <xf numFmtId="49" fontId="5" fillId="0" borderId="0" xfId="10" applyNumberFormat="1" applyFont="1" applyAlignment="1" applyProtection="1">
      <alignment horizontal="left"/>
    </xf>
    <xf numFmtId="0" fontId="17" fillId="0" borderId="0" xfId="10" applyFont="1" applyFill="1" applyBorder="1"/>
    <xf numFmtId="4" fontId="17" fillId="0" borderId="0" xfId="10" applyNumberFormat="1" applyFont="1" applyFill="1" applyBorder="1"/>
    <xf numFmtId="3" fontId="17" fillId="0" borderId="0" xfId="10" applyNumberFormat="1" applyFont="1" applyFill="1" applyBorder="1" applyAlignment="1">
      <alignment horizontal="right"/>
    </xf>
    <xf numFmtId="3" fontId="17" fillId="0" borderId="0" xfId="10" applyNumberFormat="1" applyFont="1" applyFill="1" applyBorder="1" applyAlignment="1">
      <alignment horizontal="center" wrapText="1"/>
    </xf>
    <xf numFmtId="3" fontId="17" fillId="0" borderId="0" xfId="10" applyNumberFormat="1" applyFont="1" applyFill="1" applyBorder="1" applyAlignment="1">
      <alignment horizontal="left" wrapText="1"/>
    </xf>
    <xf numFmtId="3" fontId="22" fillId="0" borderId="0" xfId="10" applyNumberFormat="1" applyFont="1" applyFill="1" applyBorder="1" applyAlignment="1">
      <alignment horizontal="right" vertical="center" wrapText="1"/>
    </xf>
    <xf numFmtId="3" fontId="22" fillId="0" borderId="15" xfId="10" applyNumberFormat="1" applyFont="1" applyFill="1" applyBorder="1" applyAlignment="1">
      <alignment horizontal="right" vertical="center" wrapText="1"/>
    </xf>
    <xf numFmtId="0" fontId="22" fillId="0" borderId="15" xfId="10" applyFont="1" applyFill="1" applyBorder="1" applyAlignment="1">
      <alignment horizontal="center" vertical="center" wrapText="1"/>
    </xf>
    <xf numFmtId="0" fontId="22" fillId="0" borderId="15" xfId="10" applyFont="1" applyFill="1" applyBorder="1" applyAlignment="1">
      <alignment horizontal="left" vertical="center" wrapText="1"/>
    </xf>
    <xf numFmtId="49" fontId="22" fillId="0" borderId="15" xfId="10" applyNumberFormat="1" applyFont="1" applyFill="1" applyBorder="1" applyAlignment="1">
      <alignment horizontal="center" vertical="center" wrapText="1"/>
    </xf>
    <xf numFmtId="0" fontId="28" fillId="0" borderId="0" xfId="10" applyFont="1" applyFill="1" applyBorder="1"/>
    <xf numFmtId="4" fontId="28" fillId="0" borderId="0" xfId="10" applyNumberFormat="1" applyFont="1" applyFill="1" applyBorder="1"/>
    <xf numFmtId="3" fontId="28" fillId="0" borderId="0" xfId="10" applyNumberFormat="1" applyFont="1" applyFill="1" applyBorder="1" applyAlignment="1">
      <alignment horizontal="right"/>
    </xf>
    <xf numFmtId="3" fontId="28" fillId="0" borderId="0" xfId="10" applyNumberFormat="1" applyFont="1" applyFill="1" applyBorder="1" applyAlignment="1">
      <alignment horizontal="center" wrapText="1"/>
    </xf>
    <xf numFmtId="3" fontId="28" fillId="0" borderId="0" xfId="10" applyNumberFormat="1" applyFont="1" applyFill="1" applyBorder="1" applyAlignment="1">
      <alignment horizontal="left" wrapText="1"/>
    </xf>
    <xf numFmtId="0" fontId="28" fillId="0" borderId="0" xfId="10" applyFont="1" applyFill="1" applyBorder="1" applyAlignment="1">
      <alignment horizontal="center" vertical="center" wrapText="1"/>
    </xf>
    <xf numFmtId="0" fontId="28" fillId="0" borderId="15" xfId="10" applyFont="1" applyFill="1" applyBorder="1" applyAlignment="1">
      <alignment horizontal="center" vertical="center" wrapText="1"/>
    </xf>
    <xf numFmtId="3" fontId="28" fillId="0" borderId="15" xfId="10" applyNumberFormat="1" applyFont="1" applyFill="1" applyBorder="1" applyAlignment="1">
      <alignment horizontal="right" vertical="center" wrapText="1"/>
    </xf>
    <xf numFmtId="0" fontId="28" fillId="0" borderId="15" xfId="10" applyFont="1" applyFill="1" applyBorder="1" applyAlignment="1">
      <alignment horizontal="left" vertical="center" wrapText="1"/>
    </xf>
    <xf numFmtId="49" fontId="28" fillId="0" borderId="15" xfId="10" applyNumberFormat="1" applyFont="1" applyFill="1" applyBorder="1" applyAlignment="1">
      <alignment horizontal="center" vertical="center" wrapText="1"/>
    </xf>
    <xf numFmtId="3" fontId="28" fillId="0" borderId="0" xfId="10" applyNumberFormat="1" applyFont="1" applyFill="1" applyBorder="1" applyAlignment="1">
      <alignment horizontal="right" vertical="center" wrapText="1"/>
    </xf>
    <xf numFmtId="3" fontId="21" fillId="0" borderId="0" xfId="10" applyNumberFormat="1" applyFont="1" applyFill="1" applyBorder="1" applyAlignment="1">
      <alignment horizontal="right" vertical="center" wrapText="1"/>
    </xf>
    <xf numFmtId="3" fontId="21" fillId="0" borderId="15" xfId="10" applyNumberFormat="1" applyFont="1" applyFill="1" applyBorder="1" applyAlignment="1">
      <alignment horizontal="right" vertical="center" wrapText="1"/>
    </xf>
    <xf numFmtId="0" fontId="21" fillId="0" borderId="15" xfId="10" applyFont="1" applyFill="1" applyBorder="1" applyAlignment="1">
      <alignment horizontal="center" vertical="center" wrapText="1"/>
    </xf>
    <xf numFmtId="0" fontId="21" fillId="0" borderId="15" xfId="10" applyFont="1" applyFill="1" applyBorder="1" applyAlignment="1">
      <alignment horizontal="left" vertical="center" wrapText="1"/>
    </xf>
    <xf numFmtId="49" fontId="21" fillId="0" borderId="15" xfId="10" applyNumberFormat="1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15" xfId="10" applyFont="1" applyFill="1" applyBorder="1" applyAlignment="1">
      <alignment horizontal="center" vertical="center" wrapText="1"/>
    </xf>
    <xf numFmtId="0" fontId="23" fillId="0" borderId="0" xfId="10" applyFont="1" applyFill="1" applyBorder="1" applyAlignment="1">
      <alignment horizontal="center" vertical="center" wrapText="1"/>
    </xf>
    <xf numFmtId="0" fontId="23" fillId="0" borderId="15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left" vertical="center" wrapText="1"/>
    </xf>
    <xf numFmtId="0" fontId="22" fillId="0" borderId="0" xfId="10" applyFont="1" applyFill="1" applyBorder="1" applyAlignment="1">
      <alignment horizontal="left" vertical="center" wrapText="1"/>
    </xf>
    <xf numFmtId="0" fontId="22" fillId="0" borderId="0" xfId="10" applyFont="1" applyFill="1" applyBorder="1" applyAlignment="1">
      <alignment horizontal="center" vertical="center" wrapText="1"/>
    </xf>
    <xf numFmtId="0" fontId="25" fillId="0" borderId="0" xfId="10" applyFont="1" applyFill="1" applyBorder="1" applyAlignment="1">
      <alignment horizontal="center" vertical="top" wrapText="1"/>
    </xf>
    <xf numFmtId="0" fontId="16" fillId="0" borderId="0" xfId="10" applyFont="1" applyFill="1" applyBorder="1" applyAlignment="1">
      <alignment horizontal="center" vertical="top" wrapText="1"/>
    </xf>
    <xf numFmtId="0" fontId="16" fillId="0" borderId="0" xfId="10" applyFont="1" applyFill="1" applyBorder="1" applyAlignment="1">
      <alignment horizontal="left" vertical="top"/>
    </xf>
    <xf numFmtId="0" fontId="27" fillId="0" borderId="0" xfId="10" applyFont="1" applyFill="1" applyBorder="1"/>
    <xf numFmtId="3" fontId="27" fillId="0" borderId="0" xfId="10" applyNumberFormat="1" applyFont="1" applyFill="1" applyBorder="1" applyAlignment="1">
      <alignment horizontal="right"/>
    </xf>
    <xf numFmtId="3" fontId="27" fillId="0" borderId="0" xfId="10" applyNumberFormat="1" applyFont="1" applyFill="1" applyBorder="1" applyAlignment="1">
      <alignment horizontal="center" wrapText="1"/>
    </xf>
    <xf numFmtId="3" fontId="27" fillId="0" borderId="0" xfId="10" applyNumberFormat="1" applyFont="1" applyFill="1" applyBorder="1" applyAlignment="1">
      <alignment horizontal="left" wrapText="1"/>
    </xf>
    <xf numFmtId="0" fontId="26" fillId="0" borderId="0" xfId="10" applyFont="1" applyFill="1" applyBorder="1" applyAlignment="1">
      <alignment horizontal="center" vertical="top" wrapText="1"/>
    </xf>
    <xf numFmtId="3" fontId="5" fillId="0" borderId="0" xfId="10" applyNumberFormat="1" applyFont="1" applyFill="1" applyBorder="1"/>
    <xf numFmtId="0" fontId="5" fillId="0" borderId="0" xfId="10" applyFont="1" applyFill="1" applyBorder="1" applyAlignment="1">
      <alignment horizontal="center"/>
    </xf>
    <xf numFmtId="0" fontId="5" fillId="0" borderId="0" xfId="10" applyFont="1" applyFill="1" applyBorder="1" applyAlignment="1">
      <alignment horizontal="center" wrapText="1"/>
    </xf>
    <xf numFmtId="0" fontId="5" fillId="0" borderId="0" xfId="10" applyFont="1" applyFill="1" applyBorder="1" applyAlignment="1">
      <alignment horizontal="left" wrapText="1"/>
    </xf>
    <xf numFmtId="4" fontId="8" fillId="0" borderId="16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wrapText="1"/>
    </xf>
    <xf numFmtId="4" fontId="5" fillId="0" borderId="17" xfId="0" applyNumberFormat="1" applyFont="1" applyFill="1" applyBorder="1" applyAlignment="1">
      <alignment horizontal="right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/>
    </xf>
    <xf numFmtId="4" fontId="7" fillId="0" borderId="18" xfId="0" applyNumberFormat="1" applyFont="1" applyBorder="1" applyAlignment="1">
      <alignment horizontal="right" vertical="top" wrapText="1"/>
    </xf>
    <xf numFmtId="4" fontId="7" fillId="0" borderId="15" xfId="0" applyNumberFormat="1" applyFont="1" applyBorder="1" applyAlignment="1">
      <alignment horizontal="right" vertical="top" wrapText="1"/>
    </xf>
    <xf numFmtId="4" fontId="7" fillId="0" borderId="19" xfId="0" applyNumberFormat="1" applyFont="1" applyBorder="1" applyAlignment="1">
      <alignment horizontal="right" vertical="top" wrapText="1"/>
    </xf>
    <xf numFmtId="49" fontId="87" fillId="0" borderId="16" xfId="11" applyNumberFormat="1" applyFont="1" applyBorder="1" applyAlignment="1">
      <alignment horizontal="center" vertical="top" wrapText="1"/>
    </xf>
    <xf numFmtId="49" fontId="87" fillId="0" borderId="0" xfId="11" applyNumberFormat="1" applyFont="1" applyBorder="1" applyAlignment="1">
      <alignment horizontal="center" vertical="top" wrapText="1"/>
    </xf>
    <xf numFmtId="0" fontId="87" fillId="0" borderId="16" xfId="11" applyFont="1" applyBorder="1" applyAlignment="1">
      <alignment vertical="top" wrapText="1"/>
    </xf>
    <xf numFmtId="4" fontId="87" fillId="0" borderId="0" xfId="11" applyNumberFormat="1" applyFont="1" applyBorder="1" applyAlignment="1">
      <alignment vertical="top" wrapText="1"/>
    </xf>
    <xf numFmtId="4" fontId="87" fillId="0" borderId="16" xfId="11" applyNumberFormat="1" applyFont="1" applyBorder="1" applyAlignment="1">
      <alignment vertical="top" wrapText="1"/>
    </xf>
    <xf numFmtId="49" fontId="87" fillId="0" borderId="20" xfId="11" applyNumberFormat="1" applyFont="1" applyBorder="1" applyAlignment="1">
      <alignment horizontal="center" vertical="top" wrapText="1"/>
    </xf>
    <xf numFmtId="49" fontId="87" fillId="0" borderId="21" xfId="11" applyNumberFormat="1" applyFont="1" applyBorder="1" applyAlignment="1">
      <alignment horizontal="center" vertical="top" wrapText="1"/>
    </xf>
    <xf numFmtId="0" fontId="87" fillId="0" borderId="20" xfId="11" applyFont="1" applyBorder="1" applyAlignment="1">
      <alignment vertical="top" wrapText="1"/>
    </xf>
    <xf numFmtId="4" fontId="87" fillId="0" borderId="21" xfId="11" applyNumberFormat="1" applyFont="1" applyBorder="1" applyAlignment="1">
      <alignment vertical="top" wrapText="1"/>
    </xf>
    <xf numFmtId="4" fontId="87" fillId="0" borderId="20" xfId="11" applyNumberFormat="1" applyFont="1" applyBorder="1" applyAlignment="1">
      <alignment vertical="top" wrapText="1"/>
    </xf>
    <xf numFmtId="49" fontId="88" fillId="0" borderId="16" xfId="11" applyNumberFormat="1" applyFont="1" applyBorder="1" applyAlignment="1">
      <alignment horizontal="center" vertical="top" wrapText="1"/>
    </xf>
    <xf numFmtId="49" fontId="88" fillId="0" borderId="0" xfId="11" applyNumberFormat="1" applyFont="1" applyBorder="1" applyAlignment="1">
      <alignment horizontal="center" vertical="top" wrapText="1"/>
    </xf>
    <xf numFmtId="0" fontId="88" fillId="0" borderId="16" xfId="11" applyFont="1" applyBorder="1" applyAlignment="1">
      <alignment vertical="top" wrapText="1"/>
    </xf>
    <xf numFmtId="4" fontId="88" fillId="0" borderId="0" xfId="11" applyNumberFormat="1" applyFont="1" applyBorder="1" applyAlignment="1">
      <alignment vertical="top" wrapText="1"/>
    </xf>
    <xf numFmtId="4" fontId="88" fillId="0" borderId="16" xfId="11" applyNumberFormat="1" applyFont="1" applyBorder="1" applyAlignment="1">
      <alignment vertical="top" wrapText="1"/>
    </xf>
    <xf numFmtId="4" fontId="88" fillId="0" borderId="22" xfId="11" applyNumberFormat="1" applyFont="1" applyBorder="1" applyAlignment="1">
      <alignment vertical="top" wrapText="1"/>
    </xf>
    <xf numFmtId="0" fontId="8" fillId="0" borderId="0" xfId="0" applyFont="1"/>
    <xf numFmtId="49" fontId="88" fillId="0" borderId="15" xfId="11" applyNumberFormat="1" applyFont="1" applyBorder="1" applyAlignment="1">
      <alignment horizontal="center" vertical="top" wrapText="1"/>
    </xf>
    <xf numFmtId="49" fontId="88" fillId="0" borderId="18" xfId="11" applyNumberFormat="1" applyFont="1" applyBorder="1" applyAlignment="1">
      <alignment horizontal="center" vertical="top" wrapText="1"/>
    </xf>
    <xf numFmtId="0" fontId="88" fillId="0" borderId="15" xfId="11" applyFont="1" applyBorder="1" applyAlignment="1">
      <alignment vertical="top" wrapText="1"/>
    </xf>
    <xf numFmtId="4" fontId="88" fillId="0" borderId="18" xfId="11" applyNumberFormat="1" applyFont="1" applyBorder="1" applyAlignment="1">
      <alignment vertical="top" wrapText="1"/>
    </xf>
    <xf numFmtId="4" fontId="88" fillId="0" borderId="15" xfId="11" applyNumberFormat="1" applyFont="1" applyBorder="1" applyAlignment="1">
      <alignment vertical="top" wrapText="1"/>
    </xf>
    <xf numFmtId="49" fontId="88" fillId="0" borderId="22" xfId="11" applyNumberFormat="1" applyFont="1" applyBorder="1" applyAlignment="1">
      <alignment horizontal="center" vertical="top" wrapText="1"/>
    </xf>
    <xf numFmtId="49" fontId="88" fillId="0" borderId="23" xfId="11" applyNumberFormat="1" applyFont="1" applyBorder="1" applyAlignment="1">
      <alignment horizontal="center" vertical="top" wrapText="1"/>
    </xf>
    <xf numFmtId="0" fontId="88" fillId="0" borderId="22" xfId="11" applyFont="1" applyBorder="1" applyAlignment="1">
      <alignment vertical="top" wrapText="1"/>
    </xf>
    <xf numFmtId="4" fontId="88" fillId="0" borderId="23" xfId="11" applyNumberFormat="1" applyFont="1" applyBorder="1" applyAlignment="1">
      <alignment vertical="top" wrapText="1"/>
    </xf>
    <xf numFmtId="49" fontId="31" fillId="0" borderId="0" xfId="30" applyNumberFormat="1" applyFont="1" applyAlignment="1">
      <alignment horizontal="center" vertical="center"/>
    </xf>
    <xf numFmtId="49" fontId="32" fillId="0" borderId="0" xfId="30" applyNumberFormat="1" applyFont="1" applyAlignment="1">
      <alignment horizontal="center" vertical="center" wrapText="1"/>
    </xf>
    <xf numFmtId="0" fontId="7" fillId="0" borderId="0" xfId="30" applyFont="1" applyAlignment="1">
      <alignment vertical="center"/>
    </xf>
    <xf numFmtId="0" fontId="32" fillId="0" borderId="0" xfId="30" applyFont="1" applyAlignment="1">
      <alignment vertical="center"/>
    </xf>
    <xf numFmtId="3" fontId="5" fillId="0" borderId="0" xfId="10" applyNumberFormat="1" applyFont="1"/>
    <xf numFmtId="0" fontId="6" fillId="0" borderId="0" xfId="30" applyFont="1" applyAlignment="1">
      <alignment vertical="center"/>
    </xf>
    <xf numFmtId="0" fontId="6" fillId="0" borderId="0" xfId="30" applyFont="1" applyAlignment="1">
      <alignment horizontal="center" vertical="center"/>
    </xf>
    <xf numFmtId="4" fontId="6" fillId="0" borderId="0" xfId="30" applyNumberFormat="1" applyFont="1" applyAlignment="1">
      <alignment horizontal="center" vertical="center"/>
    </xf>
    <xf numFmtId="2" fontId="6" fillId="0" borderId="0" xfId="30" applyNumberFormat="1" applyFont="1" applyAlignment="1">
      <alignment horizontal="center" vertical="center"/>
    </xf>
    <xf numFmtId="49" fontId="31" fillId="0" borderId="24" xfId="30" applyNumberFormat="1" applyFont="1" applyBorder="1" applyAlignment="1">
      <alignment horizontal="center" vertical="center" wrapText="1"/>
    </xf>
    <xf numFmtId="2" fontId="31" fillId="0" borderId="0" xfId="30" applyNumberFormat="1" applyFont="1" applyAlignment="1">
      <alignment horizontal="center" vertical="center" wrapText="1"/>
    </xf>
    <xf numFmtId="49" fontId="31" fillId="0" borderId="25" xfId="30" applyNumberFormat="1" applyFont="1" applyBorder="1" applyAlignment="1">
      <alignment horizontal="center" vertical="center" wrapText="1"/>
    </xf>
    <xf numFmtId="49" fontId="31" fillId="0" borderId="26" xfId="30" applyNumberFormat="1" applyFont="1" applyBorder="1" applyAlignment="1">
      <alignment horizontal="center" vertical="center" wrapText="1"/>
    </xf>
    <xf numFmtId="2" fontId="6" fillId="0" borderId="15" xfId="30" applyNumberFormat="1" applyFont="1" applyBorder="1" applyAlignment="1">
      <alignment horizontal="center" vertical="center" wrapText="1"/>
    </xf>
    <xf numFmtId="2" fontId="6" fillId="0" borderId="27" xfId="30" applyNumberFormat="1" applyFont="1" applyBorder="1" applyAlignment="1">
      <alignment horizontal="center" vertical="center" wrapText="1"/>
    </xf>
    <xf numFmtId="49" fontId="34" fillId="0" borderId="15" xfId="30" applyNumberFormat="1" applyFont="1" applyBorder="1" applyAlignment="1">
      <alignment horizontal="center" vertical="center" wrapText="1"/>
    </xf>
    <xf numFmtId="49" fontId="35" fillId="0" borderId="28" xfId="30" applyNumberFormat="1" applyFont="1" applyBorder="1" applyAlignment="1">
      <alignment horizontal="center" vertical="center" wrapText="1"/>
    </xf>
    <xf numFmtId="49" fontId="34" fillId="0" borderId="28" xfId="30" applyNumberFormat="1" applyFont="1" applyBorder="1" applyAlignment="1">
      <alignment horizontal="center" vertical="center" wrapText="1"/>
    </xf>
    <xf numFmtId="49" fontId="34" fillId="0" borderId="27" xfId="30" applyNumberFormat="1" applyFont="1" applyBorder="1" applyAlignment="1">
      <alignment horizontal="center" vertical="center" wrapText="1"/>
    </xf>
    <xf numFmtId="49" fontId="34" fillId="0" borderId="0" xfId="30" applyNumberFormat="1" applyFont="1" applyAlignment="1">
      <alignment horizontal="center" vertical="center" wrapText="1"/>
    </xf>
    <xf numFmtId="49" fontId="34" fillId="0" borderId="24" xfId="30" applyNumberFormat="1" applyFont="1" applyBorder="1" applyAlignment="1">
      <alignment horizontal="center" vertical="center" wrapText="1"/>
    </xf>
    <xf numFmtId="49" fontId="36" fillId="0" borderId="23" xfId="30" applyNumberFormat="1" applyFont="1" applyBorder="1" applyAlignment="1">
      <alignment horizontal="center" vertical="center" wrapText="1"/>
    </xf>
    <xf numFmtId="49" fontId="37" fillId="0" borderId="23" xfId="30" applyNumberFormat="1" applyFont="1" applyBorder="1" applyAlignment="1">
      <alignment horizontal="center" vertical="center" wrapText="1"/>
    </xf>
    <xf numFmtId="49" fontId="34" fillId="0" borderId="23" xfId="30" applyNumberFormat="1" applyFont="1" applyBorder="1" applyAlignment="1">
      <alignment horizontal="center" vertical="center" wrapText="1"/>
    </xf>
    <xf numFmtId="49" fontId="34" fillId="0" borderId="22" xfId="30" applyNumberFormat="1" applyFont="1" applyBorder="1" applyAlignment="1">
      <alignment horizontal="center" vertical="center" wrapText="1"/>
    </xf>
    <xf numFmtId="3" fontId="38" fillId="3" borderId="15" xfId="30" applyNumberFormat="1" applyFont="1" applyFill="1" applyBorder="1" applyAlignment="1">
      <alignment horizontal="center" vertical="center" wrapText="1"/>
    </xf>
    <xf numFmtId="4" fontId="7" fillId="3" borderId="29" xfId="30" applyNumberFormat="1" applyFont="1" applyFill="1" applyBorder="1" applyAlignment="1">
      <alignment horizontal="right" vertical="center" wrapText="1"/>
    </xf>
    <xf numFmtId="4" fontId="7" fillId="3" borderId="15" xfId="30" applyNumberFormat="1" applyFont="1" applyFill="1" applyBorder="1" applyAlignment="1">
      <alignment horizontal="right" vertical="center" wrapText="1"/>
    </xf>
    <xf numFmtId="4" fontId="7" fillId="3" borderId="28" xfId="30" applyNumberFormat="1" applyFont="1" applyFill="1" applyBorder="1" applyAlignment="1">
      <alignment horizontal="right" vertical="center" wrapText="1"/>
    </xf>
    <xf numFmtId="3" fontId="32" fillId="0" borderId="0" xfId="30" applyNumberFormat="1" applyFont="1" applyAlignment="1">
      <alignment vertical="center" wrapText="1"/>
    </xf>
    <xf numFmtId="4" fontId="32" fillId="0" borderId="0" xfId="30" applyNumberFormat="1" applyFont="1" applyAlignment="1">
      <alignment vertical="center" wrapText="1"/>
    </xf>
    <xf numFmtId="3" fontId="39" fillId="0" borderId="0" xfId="30" applyNumberFormat="1" applyFont="1" applyBorder="1" applyAlignment="1">
      <alignment horizontal="center" vertical="center" wrapText="1"/>
    </xf>
    <xf numFmtId="4" fontId="7" fillId="0" borderId="0" xfId="30" applyNumberFormat="1" applyFont="1" applyBorder="1" applyAlignment="1">
      <alignment vertical="center" wrapText="1"/>
    </xf>
    <xf numFmtId="4" fontId="40" fillId="0" borderId="0" xfId="30" applyNumberFormat="1" applyFont="1" applyBorder="1" applyAlignment="1">
      <alignment vertical="center" wrapText="1"/>
    </xf>
    <xf numFmtId="4" fontId="7" fillId="0" borderId="0" xfId="30" applyNumberFormat="1" applyFont="1" applyBorder="1" applyAlignment="1">
      <alignment horizontal="right" vertical="center" wrapText="1"/>
    </xf>
    <xf numFmtId="4" fontId="7" fillId="0" borderId="16" xfId="30" applyNumberFormat="1" applyFont="1" applyBorder="1" applyAlignment="1">
      <alignment horizontal="right" vertical="center" wrapText="1"/>
    </xf>
    <xf numFmtId="4" fontId="7" fillId="0" borderId="30" xfId="30" applyNumberFormat="1" applyFont="1" applyBorder="1" applyAlignment="1">
      <alignment horizontal="right" vertical="center" wrapText="1"/>
    </xf>
    <xf numFmtId="3" fontId="6" fillId="0" borderId="0" xfId="30" applyNumberFormat="1" applyFont="1" applyAlignment="1">
      <alignment horizontal="center" vertical="center" wrapText="1"/>
    </xf>
    <xf numFmtId="4" fontId="6" fillId="0" borderId="0" xfId="30" applyNumberFormat="1" applyFont="1" applyAlignment="1">
      <alignment horizontal="center" vertical="center" wrapText="1"/>
    </xf>
    <xf numFmtId="3" fontId="6" fillId="0" borderId="15" xfId="30" applyNumberFormat="1" applyFont="1" applyBorder="1" applyAlignment="1">
      <alignment horizontal="center" vertical="center" wrapText="1"/>
    </xf>
    <xf numFmtId="4" fontId="7" fillId="0" borderId="15" xfId="30" applyNumberFormat="1" applyFont="1" applyBorder="1" applyAlignment="1">
      <alignment horizontal="right" vertical="center" wrapText="1"/>
    </xf>
    <xf numFmtId="4" fontId="6" fillId="0" borderId="15" xfId="30" applyNumberFormat="1" applyFont="1" applyBorder="1" applyAlignment="1">
      <alignment horizontal="right" vertical="center" wrapText="1"/>
    </xf>
    <xf numFmtId="4" fontId="6" fillId="0" borderId="28" xfId="30" applyNumberFormat="1" applyFont="1" applyBorder="1" applyAlignment="1">
      <alignment horizontal="right" vertical="center" wrapText="1"/>
    </xf>
    <xf numFmtId="4" fontId="6" fillId="0" borderId="18" xfId="30" applyNumberFormat="1" applyFont="1" applyBorder="1" applyAlignment="1">
      <alignment horizontal="right" vertical="center" wrapText="1"/>
    </xf>
    <xf numFmtId="4" fontId="6" fillId="0" borderId="27" xfId="30" applyNumberFormat="1" applyFont="1" applyBorder="1" applyAlignment="1">
      <alignment horizontal="right" vertical="center" wrapText="1"/>
    </xf>
    <xf numFmtId="4" fontId="6" fillId="0" borderId="20" xfId="30" applyNumberFormat="1" applyFont="1" applyBorder="1" applyAlignment="1">
      <alignment horizontal="right" vertical="center" wrapText="1"/>
    </xf>
    <xf numFmtId="4" fontId="6" fillId="0" borderId="21" xfId="30" applyNumberFormat="1" applyFont="1" applyBorder="1" applyAlignment="1">
      <alignment horizontal="right" vertical="center" wrapText="1"/>
    </xf>
    <xf numFmtId="4" fontId="6" fillId="0" borderId="31" xfId="30" applyNumberFormat="1" applyFont="1" applyBorder="1" applyAlignment="1">
      <alignment horizontal="right" vertical="center" wrapText="1"/>
    </xf>
    <xf numFmtId="4" fontId="6" fillId="0" borderId="26" xfId="30" applyNumberFormat="1" applyFont="1" applyBorder="1" applyAlignment="1">
      <alignment horizontal="right" vertical="center" wrapText="1"/>
    </xf>
    <xf numFmtId="49" fontId="6" fillId="0" borderId="28" xfId="30" applyNumberFormat="1" applyFont="1" applyBorder="1" applyAlignment="1">
      <alignment horizontal="center" vertical="center" wrapText="1"/>
    </xf>
    <xf numFmtId="3" fontId="6" fillId="0" borderId="18" xfId="30" applyNumberFormat="1" applyFont="1" applyBorder="1" applyAlignment="1">
      <alignment horizontal="left" vertical="center" wrapText="1"/>
    </xf>
    <xf numFmtId="3" fontId="6" fillId="0" borderId="23" xfId="30" applyNumberFormat="1" applyFont="1" applyBorder="1" applyAlignment="1">
      <alignment horizontal="left" vertical="center" wrapText="1"/>
    </xf>
    <xf numFmtId="4" fontId="7" fillId="0" borderId="18" xfId="30" applyNumberFormat="1" applyFont="1" applyBorder="1" applyAlignment="1">
      <alignment horizontal="right" vertical="center" wrapText="1"/>
    </xf>
    <xf numFmtId="49" fontId="6" fillId="0" borderId="24" xfId="30" applyNumberFormat="1" applyFont="1" applyBorder="1" applyAlignment="1">
      <alignment horizontal="center" vertical="center" wrapText="1"/>
    </xf>
    <xf numFmtId="4" fontId="6" fillId="0" borderId="15" xfId="30" applyNumberFormat="1" applyFont="1" applyBorder="1" applyAlignment="1">
      <alignment vertical="center"/>
    </xf>
    <xf numFmtId="4" fontId="6" fillId="0" borderId="18" xfId="30" applyNumberFormat="1" applyFont="1" applyBorder="1" applyAlignment="1">
      <alignment vertical="center"/>
    </xf>
    <xf numFmtId="4" fontId="6" fillId="0" borderId="27" xfId="30" applyNumberFormat="1" applyFont="1" applyBorder="1" applyAlignment="1">
      <alignment vertical="center"/>
    </xf>
    <xf numFmtId="0" fontId="31" fillId="0" borderId="0" xfId="30" applyFont="1" applyAlignment="1">
      <alignment vertical="center"/>
    </xf>
    <xf numFmtId="4" fontId="31" fillId="0" borderId="0" xfId="30" applyNumberFormat="1" applyFont="1" applyAlignment="1">
      <alignment vertical="center"/>
    </xf>
    <xf numFmtId="49" fontId="6" fillId="0" borderId="28" xfId="30" applyNumberFormat="1" applyFont="1" applyBorder="1" applyAlignment="1">
      <alignment horizontal="center" vertical="center"/>
    </xf>
    <xf numFmtId="49" fontId="6" fillId="0" borderId="18" xfId="30" applyNumberFormat="1" applyFont="1" applyBorder="1" applyAlignment="1">
      <alignment horizontal="left" vertical="center" wrapText="1"/>
    </xf>
    <xf numFmtId="49" fontId="6" fillId="0" borderId="28" xfId="30" applyNumberFormat="1" applyFont="1" applyBorder="1" applyAlignment="1">
      <alignment vertical="center"/>
    </xf>
    <xf numFmtId="49" fontId="6" fillId="0" borderId="18" xfId="30" applyNumberFormat="1" applyFont="1" applyBorder="1" applyAlignment="1">
      <alignment vertical="center"/>
    </xf>
    <xf numFmtId="4" fontId="31" fillId="0" borderId="27" xfId="30" applyNumberFormat="1" applyFont="1" applyBorder="1" applyAlignment="1">
      <alignment vertical="center"/>
    </xf>
    <xf numFmtId="4" fontId="7" fillId="0" borderId="0" xfId="30" applyNumberFormat="1" applyFont="1" applyAlignment="1">
      <alignment vertical="center"/>
    </xf>
    <xf numFmtId="49" fontId="6" fillId="0" borderId="24" xfId="30" applyNumberFormat="1" applyFont="1" applyBorder="1" applyAlignment="1">
      <alignment horizontal="center" vertical="center"/>
    </xf>
    <xf numFmtId="49" fontId="6" fillId="0" borderId="23" xfId="30" applyNumberFormat="1" applyFont="1" applyBorder="1" applyAlignment="1">
      <alignment horizontal="center" vertical="center"/>
    </xf>
    <xf numFmtId="49" fontId="6" fillId="0" borderId="18" xfId="30" applyNumberFormat="1" applyFont="1" applyBorder="1" applyAlignment="1">
      <alignment horizontal="center" vertical="center"/>
    </xf>
    <xf numFmtId="4" fontId="6" fillId="0" borderId="18" xfId="30" applyNumberFormat="1" applyFont="1" applyBorder="1" applyAlignment="1">
      <alignment horizontal="center" vertical="center"/>
    </xf>
    <xf numFmtId="4" fontId="6" fillId="0" borderId="15" xfId="30" applyNumberFormat="1" applyFont="1" applyBorder="1" applyAlignment="1">
      <alignment horizontal="center" vertical="center"/>
    </xf>
    <xf numFmtId="4" fontId="6" fillId="0" borderId="28" xfId="30" applyNumberFormat="1" applyFont="1" applyBorder="1" applyAlignment="1">
      <alignment vertical="center"/>
    </xf>
    <xf numFmtId="49" fontId="6" fillId="0" borderId="23" xfId="30" applyNumberFormat="1" applyFont="1" applyBorder="1" applyAlignment="1">
      <alignment horizontal="left" vertical="center" wrapText="1"/>
    </xf>
    <xf numFmtId="4" fontId="7" fillId="0" borderId="27" xfId="30" applyNumberFormat="1" applyFont="1" applyBorder="1" applyAlignment="1">
      <alignment horizontal="right" vertical="center" wrapText="1"/>
    </xf>
    <xf numFmtId="3" fontId="38" fillId="3" borderId="27" xfId="30" applyNumberFormat="1" applyFont="1" applyFill="1" applyBorder="1" applyAlignment="1">
      <alignment horizontal="center" vertical="center" wrapText="1"/>
    </xf>
    <xf numFmtId="4" fontId="7" fillId="3" borderId="22" xfId="30" applyNumberFormat="1" applyFont="1" applyFill="1" applyBorder="1" applyAlignment="1">
      <alignment horizontal="right" vertical="center" wrapText="1"/>
    </xf>
    <xf numFmtId="4" fontId="7" fillId="0" borderId="31" xfId="30" applyNumberFormat="1" applyFont="1" applyBorder="1" applyAlignment="1">
      <alignment horizontal="right" vertical="center" wrapText="1"/>
    </xf>
    <xf numFmtId="3" fontId="6" fillId="0" borderId="18" xfId="30" applyNumberFormat="1" applyFont="1" applyBorder="1" applyAlignment="1">
      <alignment horizontal="center" vertical="center" wrapText="1"/>
    </xf>
    <xf numFmtId="4" fontId="6" fillId="0" borderId="0" xfId="30" applyNumberFormat="1" applyFont="1" applyBorder="1" applyAlignment="1">
      <alignment horizontal="right" vertical="center" wrapText="1"/>
    </xf>
    <xf numFmtId="4" fontId="7" fillId="0" borderId="21" xfId="30" applyNumberFormat="1" applyFont="1" applyBorder="1" applyAlignment="1">
      <alignment vertical="center" wrapText="1"/>
    </xf>
    <xf numFmtId="4" fontId="7" fillId="0" borderId="21" xfId="30" applyNumberFormat="1" applyFont="1" applyBorder="1" applyAlignment="1">
      <alignment horizontal="right" vertical="center" wrapText="1"/>
    </xf>
    <xf numFmtId="4" fontId="6" fillId="0" borderId="0" xfId="30" applyNumberFormat="1" applyFont="1" applyBorder="1" applyAlignment="1">
      <alignment vertical="center"/>
    </xf>
    <xf numFmtId="4" fontId="6" fillId="0" borderId="16" xfId="30" applyNumberFormat="1" applyFont="1" applyBorder="1" applyAlignment="1">
      <alignment vertical="center"/>
    </xf>
    <xf numFmtId="4" fontId="6" fillId="0" borderId="22" xfId="30" applyNumberFormat="1" applyFont="1" applyBorder="1" applyAlignment="1">
      <alignment vertical="center"/>
    </xf>
    <xf numFmtId="4" fontId="6" fillId="0" borderId="24" xfId="30" applyNumberFormat="1" applyFont="1" applyBorder="1" applyAlignment="1">
      <alignment vertical="center"/>
    </xf>
    <xf numFmtId="4" fontId="6" fillId="0" borderId="23" xfId="30" applyNumberFormat="1" applyFont="1" applyBorder="1" applyAlignment="1">
      <alignment vertical="center"/>
    </xf>
    <xf numFmtId="4" fontId="6" fillId="0" borderId="29" xfId="30" applyNumberFormat="1" applyFont="1" applyBorder="1" applyAlignment="1">
      <alignment vertical="center"/>
    </xf>
    <xf numFmtId="4" fontId="7" fillId="0" borderId="23" xfId="30" applyNumberFormat="1" applyFont="1" applyBorder="1" applyAlignment="1">
      <alignment horizontal="right" vertical="center" wrapText="1"/>
    </xf>
    <xf numFmtId="49" fontId="41" fillId="3" borderId="15" xfId="30" applyNumberFormat="1" applyFont="1" applyFill="1" applyBorder="1" applyAlignment="1">
      <alignment horizontal="center" vertical="center"/>
    </xf>
    <xf numFmtId="4" fontId="42" fillId="3" borderId="15" xfId="30" applyNumberFormat="1" applyFont="1" applyFill="1" applyBorder="1" applyAlignment="1">
      <alignment vertical="center"/>
    </xf>
    <xf numFmtId="4" fontId="42" fillId="3" borderId="28" xfId="30" applyNumberFormat="1" applyFont="1" applyFill="1" applyBorder="1" applyAlignment="1">
      <alignment vertical="center"/>
    </xf>
    <xf numFmtId="0" fontId="41" fillId="4" borderId="0" xfId="30" applyFont="1" applyFill="1" applyAlignment="1">
      <alignment vertical="center"/>
    </xf>
    <xf numFmtId="4" fontId="41" fillId="4" borderId="0" xfId="30" applyNumberFormat="1" applyFont="1" applyFill="1" applyAlignment="1">
      <alignment vertical="center"/>
    </xf>
    <xf numFmtId="49" fontId="41" fillId="0" borderId="0" xfId="30" applyNumberFormat="1" applyFont="1" applyAlignment="1">
      <alignment horizontal="center" vertical="center"/>
    </xf>
    <xf numFmtId="3" fontId="42" fillId="0" borderId="0" xfId="30" applyNumberFormat="1" applyFont="1" applyAlignment="1">
      <alignment vertical="center"/>
    </xf>
    <xf numFmtId="49" fontId="6" fillId="0" borderId="0" xfId="30" applyNumberFormat="1" applyFont="1" applyAlignment="1">
      <alignment horizontal="right" vertical="center"/>
    </xf>
    <xf numFmtId="49" fontId="6" fillId="0" borderId="0" xfId="30" applyNumberFormat="1" applyFont="1" applyAlignment="1">
      <alignment horizontal="left" vertical="center"/>
    </xf>
    <xf numFmtId="49" fontId="6" fillId="0" borderId="0" xfId="30" applyNumberFormat="1" applyFont="1" applyAlignment="1">
      <alignment horizontal="center" vertical="center"/>
    </xf>
    <xf numFmtId="4" fontId="6" fillId="0" borderId="0" xfId="30" applyNumberFormat="1" applyFont="1" applyAlignment="1">
      <alignment vertical="center"/>
    </xf>
    <xf numFmtId="3" fontId="6" fillId="0" borderId="0" xfId="30" applyNumberFormat="1" applyFont="1" applyAlignment="1">
      <alignment vertical="center"/>
    </xf>
    <xf numFmtId="4" fontId="40" fillId="5" borderId="0" xfId="30" applyNumberFormat="1" applyFont="1" applyFill="1" applyAlignment="1">
      <alignment vertical="center"/>
    </xf>
    <xf numFmtId="4" fontId="32" fillId="0" borderId="0" xfId="30" applyNumberFormat="1" applyFont="1" applyAlignment="1">
      <alignment vertical="center"/>
    </xf>
    <xf numFmtId="4" fontId="7" fillId="5" borderId="0" xfId="30" applyNumberFormat="1" applyFont="1" applyFill="1" applyAlignment="1">
      <alignment vertical="center"/>
    </xf>
    <xf numFmtId="0" fontId="7" fillId="5" borderId="0" xfId="30" applyFont="1" applyFill="1" applyAlignment="1">
      <alignment vertical="center"/>
    </xf>
    <xf numFmtId="49" fontId="8" fillId="0" borderId="0" xfId="10" applyNumberFormat="1" applyFont="1" applyAlignment="1">
      <alignment horizontal="center" vertical="top" wrapText="1"/>
    </xf>
    <xf numFmtId="49" fontId="5" fillId="0" borderId="0" xfId="10" applyNumberFormat="1" applyFont="1" applyAlignment="1">
      <alignment horizontal="center" vertical="top" wrapText="1"/>
    </xf>
    <xf numFmtId="0" fontId="5" fillId="0" borderId="0" xfId="10" applyFont="1" applyAlignment="1">
      <alignment wrapText="1"/>
    </xf>
    <xf numFmtId="3" fontId="5" fillId="0" borderId="0" xfId="10" applyNumberFormat="1" applyFont="1" applyAlignment="1">
      <alignment wrapText="1"/>
    </xf>
    <xf numFmtId="3" fontId="5" fillId="0" borderId="0" xfId="10" applyNumberFormat="1" applyFont="1" applyAlignment="1"/>
    <xf numFmtId="3" fontId="5" fillId="0" borderId="0" xfId="10" applyNumberFormat="1" applyFont="1" applyAlignment="1">
      <alignment horizontal="right" wrapText="1"/>
    </xf>
    <xf numFmtId="49" fontId="8" fillId="0" borderId="15" xfId="10" applyNumberFormat="1" applyFont="1" applyBorder="1" applyAlignment="1">
      <alignment horizontal="center" vertical="top" wrapText="1"/>
    </xf>
    <xf numFmtId="0" fontId="8" fillId="0" borderId="15" xfId="10" applyFont="1" applyBorder="1" applyAlignment="1">
      <alignment horizontal="center" vertical="center" wrapText="1"/>
    </xf>
    <xf numFmtId="3" fontId="8" fillId="0" borderId="15" xfId="10" applyNumberFormat="1" applyFont="1" applyBorder="1" applyAlignment="1">
      <alignment horizontal="center" vertical="center" wrapText="1"/>
    </xf>
    <xf numFmtId="49" fontId="9" fillId="0" borderId="15" xfId="10" applyNumberFormat="1" applyFont="1" applyBorder="1" applyAlignment="1">
      <alignment horizontal="center" vertical="top" wrapText="1"/>
    </xf>
    <xf numFmtId="0" fontId="9" fillId="0" borderId="15" xfId="10" applyFont="1" applyBorder="1" applyAlignment="1">
      <alignment horizontal="center" wrapText="1"/>
    </xf>
    <xf numFmtId="3" fontId="9" fillId="0" borderId="15" xfId="10" applyNumberFormat="1" applyFont="1" applyBorder="1" applyAlignment="1">
      <alignment horizontal="center" wrapText="1"/>
    </xf>
    <xf numFmtId="49" fontId="8" fillId="0" borderId="15" xfId="10" applyNumberFormat="1" applyFont="1" applyBorder="1" applyAlignment="1">
      <alignment horizontal="center" vertical="center" wrapText="1"/>
    </xf>
    <xf numFmtId="2" fontId="8" fillId="0" borderId="15" xfId="10" applyNumberFormat="1" applyFont="1" applyBorder="1" applyAlignment="1">
      <alignment vertical="center" wrapText="1"/>
    </xf>
    <xf numFmtId="4" fontId="8" fillId="0" borderId="15" xfId="10" applyNumberFormat="1" applyFont="1" applyBorder="1" applyAlignment="1">
      <alignment vertical="center"/>
    </xf>
    <xf numFmtId="4" fontId="8" fillId="0" borderId="15" xfId="10" applyNumberFormat="1" applyFont="1" applyBorder="1" applyAlignment="1">
      <alignment horizontal="right" vertical="center"/>
    </xf>
    <xf numFmtId="0" fontId="5" fillId="0" borderId="0" xfId="10" applyFont="1" applyAlignment="1">
      <alignment vertical="center" wrapText="1"/>
    </xf>
    <xf numFmtId="49" fontId="88" fillId="0" borderId="15" xfId="19" applyNumberFormat="1" applyFont="1" applyBorder="1" applyAlignment="1">
      <alignment horizontal="center" vertical="top"/>
    </xf>
    <xf numFmtId="0" fontId="88" fillId="0" borderId="15" xfId="19" applyFont="1" applyBorder="1" applyAlignment="1">
      <alignment vertical="top" wrapText="1"/>
    </xf>
    <xf numFmtId="4" fontId="88" fillId="0" borderId="15" xfId="19" applyNumberFormat="1" applyFont="1" applyBorder="1" applyAlignment="1">
      <alignment vertical="top"/>
    </xf>
    <xf numFmtId="0" fontId="8" fillId="0" borderId="0" xfId="10" applyFont="1" applyAlignment="1">
      <alignment vertical="top" wrapText="1"/>
    </xf>
    <xf numFmtId="49" fontId="88" fillId="0" borderId="16" xfId="19" applyNumberFormat="1" applyFont="1" applyBorder="1" applyAlignment="1">
      <alignment horizontal="center" vertical="top"/>
    </xf>
    <xf numFmtId="0" fontId="88" fillId="0" borderId="16" xfId="19" applyFont="1" applyBorder="1" applyAlignment="1">
      <alignment vertical="top" wrapText="1"/>
    </xf>
    <xf numFmtId="4" fontId="88" fillId="0" borderId="16" xfId="19" applyNumberFormat="1" applyFont="1" applyBorder="1" applyAlignment="1">
      <alignment vertical="top"/>
    </xf>
    <xf numFmtId="49" fontId="87" fillId="0" borderId="16" xfId="19" applyNumberFormat="1" applyFont="1" applyBorder="1" applyAlignment="1">
      <alignment horizontal="center" vertical="top"/>
    </xf>
    <xf numFmtId="0" fontId="87" fillId="0" borderId="16" xfId="19" applyFont="1" applyBorder="1" applyAlignment="1">
      <alignment vertical="top" wrapText="1"/>
    </xf>
    <xf numFmtId="4" fontId="87" fillId="0" borderId="16" xfId="19" applyNumberFormat="1" applyFont="1" applyBorder="1" applyAlignment="1">
      <alignment vertical="top"/>
    </xf>
    <xf numFmtId="0" fontId="5" fillId="0" borderId="0" xfId="10" applyFont="1" applyAlignment="1">
      <alignment vertical="top" wrapText="1"/>
    </xf>
    <xf numFmtId="0" fontId="88" fillId="0" borderId="15" xfId="7" applyFont="1" applyBorder="1" applyAlignment="1">
      <alignment vertical="top" wrapText="1"/>
    </xf>
    <xf numFmtId="49" fontId="87" fillId="0" borderId="20" xfId="19" applyNumberFormat="1" applyFont="1" applyBorder="1" applyAlignment="1">
      <alignment horizontal="center" vertical="top"/>
    </xf>
    <xf numFmtId="0" fontId="87" fillId="0" borderId="20" xfId="19" applyFont="1" applyBorder="1" applyAlignment="1">
      <alignment vertical="top" wrapText="1"/>
    </xf>
    <xf numFmtId="4" fontId="87" fillId="0" borderId="20" xfId="19" applyNumberFormat="1" applyFont="1" applyBorder="1" applyAlignment="1">
      <alignment vertical="top"/>
    </xf>
    <xf numFmtId="49" fontId="88" fillId="0" borderId="22" xfId="19" applyNumberFormat="1" applyFont="1" applyBorder="1" applyAlignment="1">
      <alignment horizontal="center" vertical="top"/>
    </xf>
    <xf numFmtId="0" fontId="88" fillId="0" borderId="22" xfId="19" applyFont="1" applyBorder="1" applyAlignment="1">
      <alignment vertical="top" wrapText="1"/>
    </xf>
    <xf numFmtId="4" fontId="88" fillId="0" borderId="22" xfId="19" applyNumberFormat="1" applyFont="1" applyBorder="1" applyAlignment="1">
      <alignment vertical="top"/>
    </xf>
    <xf numFmtId="49" fontId="88" fillId="0" borderId="16" xfId="7" applyNumberFormat="1" applyFont="1" applyBorder="1" applyAlignment="1">
      <alignment horizontal="center" vertical="top"/>
    </xf>
    <xf numFmtId="4" fontId="88" fillId="0" borderId="16" xfId="7" applyNumberFormat="1" applyFont="1" applyBorder="1" applyAlignment="1">
      <alignment vertical="top"/>
    </xf>
    <xf numFmtId="4" fontId="88" fillId="0" borderId="16" xfId="7" applyNumberFormat="1" applyFont="1" applyBorder="1" applyAlignment="1">
      <alignment horizontal="left" vertical="top" wrapText="1"/>
    </xf>
    <xf numFmtId="49" fontId="87" fillId="0" borderId="22" xfId="19" applyNumberFormat="1" applyFont="1" applyBorder="1" applyAlignment="1">
      <alignment horizontal="center" vertical="top"/>
    </xf>
    <xf numFmtId="0" fontId="87" fillId="0" borderId="22" xfId="19" applyFont="1" applyBorder="1" applyAlignment="1">
      <alignment vertical="top" wrapText="1"/>
    </xf>
    <xf numFmtId="4" fontId="87" fillId="0" borderId="22" xfId="19" applyNumberFormat="1" applyFont="1" applyBorder="1" applyAlignment="1">
      <alignment vertical="top"/>
    </xf>
    <xf numFmtId="49" fontId="88" fillId="0" borderId="25" xfId="19" applyNumberFormat="1" applyFont="1" applyBorder="1" applyAlignment="1">
      <alignment horizontal="center" vertical="top"/>
    </xf>
    <xf numFmtId="49" fontId="87" fillId="0" borderId="25" xfId="19" applyNumberFormat="1" applyFont="1" applyBorder="1" applyAlignment="1">
      <alignment horizontal="center" vertical="top"/>
    </xf>
    <xf numFmtId="0" fontId="5" fillId="0" borderId="0" xfId="10" applyFont="1" applyAlignment="1">
      <alignment horizontal="center" vertical="top" wrapText="1"/>
    </xf>
    <xf numFmtId="0" fontId="87" fillId="0" borderId="0" xfId="7" applyFont="1" applyBorder="1" applyAlignment="1">
      <alignment horizontal="center" vertical="top"/>
    </xf>
    <xf numFmtId="0" fontId="87" fillId="0" borderId="16" xfId="7" applyFont="1" applyBorder="1" applyAlignment="1">
      <alignment vertical="top" wrapText="1"/>
    </xf>
    <xf numFmtId="4" fontId="87" fillId="0" borderId="16" xfId="7" applyNumberFormat="1" applyFont="1" applyBorder="1" applyAlignment="1">
      <alignment vertical="top"/>
    </xf>
    <xf numFmtId="4" fontId="87" fillId="0" borderId="30" xfId="7" applyNumberFormat="1" applyFont="1" applyBorder="1" applyAlignment="1">
      <alignment vertical="top"/>
    </xf>
    <xf numFmtId="49" fontId="87" fillId="0" borderId="26" xfId="19" applyNumberFormat="1" applyFont="1" applyBorder="1" applyAlignment="1">
      <alignment horizontal="center" vertical="top"/>
    </xf>
    <xf numFmtId="49" fontId="87" fillId="0" borderId="15" xfId="19" applyNumberFormat="1" applyFont="1" applyBorder="1" applyAlignment="1">
      <alignment horizontal="center" vertical="top"/>
    </xf>
    <xf numFmtId="0" fontId="87" fillId="0" borderId="15" xfId="19" applyFont="1" applyBorder="1" applyAlignment="1">
      <alignment vertical="top" wrapText="1"/>
    </xf>
    <xf numFmtId="4" fontId="87" fillId="0" borderId="15" xfId="19" applyNumberFormat="1" applyFont="1" applyBorder="1" applyAlignment="1">
      <alignment vertical="top"/>
    </xf>
    <xf numFmtId="49" fontId="87" fillId="0" borderId="22" xfId="11" applyNumberFormat="1" applyFont="1" applyBorder="1" applyAlignment="1">
      <alignment horizontal="center" vertical="top" wrapText="1"/>
    </xf>
    <xf numFmtId="49" fontId="87" fillId="0" borderId="23" xfId="11" applyNumberFormat="1" applyFont="1" applyBorder="1" applyAlignment="1">
      <alignment horizontal="center" vertical="top" wrapText="1"/>
    </xf>
    <xf numFmtId="0" fontId="87" fillId="0" borderId="22" xfId="11" applyFont="1" applyBorder="1" applyAlignment="1">
      <alignment vertical="top" wrapText="1"/>
    </xf>
    <xf numFmtId="4" fontId="87" fillId="0" borderId="23" xfId="11" applyNumberFormat="1" applyFont="1" applyBorder="1" applyAlignment="1">
      <alignment vertical="top" wrapText="1"/>
    </xf>
    <xf numFmtId="4" fontId="87" fillId="0" borderId="22" xfId="11" applyNumberFormat="1" applyFont="1" applyBorder="1" applyAlignment="1">
      <alignment vertical="top" wrapText="1"/>
    </xf>
    <xf numFmtId="49" fontId="87" fillId="0" borderId="15" xfId="11" applyNumberFormat="1" applyFont="1" applyBorder="1" applyAlignment="1">
      <alignment horizontal="center" vertical="top" wrapText="1"/>
    </xf>
    <xf numFmtId="49" fontId="87" fillId="0" borderId="18" xfId="11" applyNumberFormat="1" applyFont="1" applyBorder="1" applyAlignment="1">
      <alignment horizontal="center" vertical="top" wrapText="1"/>
    </xf>
    <xf numFmtId="0" fontId="87" fillId="0" borderId="15" xfId="11" applyFont="1" applyBorder="1" applyAlignment="1">
      <alignment vertical="top" wrapText="1"/>
    </xf>
    <xf numFmtId="4" fontId="87" fillId="0" borderId="18" xfId="11" applyNumberFormat="1" applyFont="1" applyBorder="1" applyAlignment="1">
      <alignment vertical="top" wrapText="1"/>
    </xf>
    <xf numFmtId="4" fontId="87" fillId="0" borderId="15" xfId="11" applyNumberFormat="1" applyFont="1" applyBorder="1" applyAlignment="1">
      <alignment vertical="top" wrapText="1"/>
    </xf>
    <xf numFmtId="0" fontId="13" fillId="0" borderId="0" xfId="35" applyFont="1" applyAlignment="1">
      <alignment wrapText="1"/>
    </xf>
    <xf numFmtId="0" fontId="13" fillId="0" borderId="0" xfId="35" applyFont="1" applyAlignment="1">
      <alignment horizontal="left" wrapText="1"/>
    </xf>
    <xf numFmtId="0" fontId="32" fillId="0" borderId="0" xfId="30" applyFont="1" applyFill="1" applyAlignment="1">
      <alignment vertical="center"/>
    </xf>
    <xf numFmtId="0" fontId="13" fillId="0" borderId="0" xfId="31" applyFont="1" applyAlignment="1">
      <alignment horizontal="left" vertical="center" wrapText="1"/>
    </xf>
    <xf numFmtId="0" fontId="14" fillId="0" borderId="0" xfId="35" applyFont="1" applyAlignment="1">
      <alignment horizontal="center" wrapText="1"/>
    </xf>
    <xf numFmtId="0" fontId="22" fillId="0" borderId="0" xfId="31" applyFont="1" applyAlignment="1">
      <alignment horizontal="left" vertical="center" wrapText="1"/>
    </xf>
    <xf numFmtId="0" fontId="13" fillId="0" borderId="0" xfId="31" applyFont="1" applyAlignment="1">
      <alignment wrapText="1"/>
    </xf>
    <xf numFmtId="0" fontId="13" fillId="0" borderId="0" xfId="31" applyFont="1" applyFill="1" applyAlignment="1">
      <alignment horizontal="center" vertical="center" wrapText="1"/>
    </xf>
    <xf numFmtId="0" fontId="21" fillId="0" borderId="0" xfId="35" applyFont="1" applyAlignment="1">
      <alignment wrapText="1"/>
    </xf>
    <xf numFmtId="0" fontId="16" fillId="0" borderId="0" xfId="35" applyFont="1" applyAlignment="1">
      <alignment horizontal="center" vertical="center" wrapText="1"/>
    </xf>
    <xf numFmtId="0" fontId="23" fillId="0" borderId="15" xfId="35" applyFont="1" applyFill="1" applyBorder="1" applyAlignment="1">
      <alignment horizontal="center" vertical="center" wrapText="1"/>
    </xf>
    <xf numFmtId="0" fontId="23" fillId="0" borderId="15" xfId="35" applyFont="1" applyBorder="1" applyAlignment="1">
      <alignment horizontal="center" vertical="center" wrapText="1"/>
    </xf>
    <xf numFmtId="0" fontId="23" fillId="0" borderId="27" xfId="35" applyFont="1" applyBorder="1" applyAlignment="1">
      <alignment horizontal="center" vertical="center" wrapText="1"/>
    </xf>
    <xf numFmtId="0" fontId="23" fillId="0" borderId="0" xfId="35" applyFont="1" applyAlignment="1">
      <alignment wrapText="1"/>
    </xf>
    <xf numFmtId="0" fontId="23" fillId="0" borderId="20" xfId="35" applyFont="1" applyFill="1" applyBorder="1" applyAlignment="1">
      <alignment wrapText="1"/>
    </xf>
    <xf numFmtId="0" fontId="23" fillId="0" borderId="15" xfId="35" applyFont="1" applyBorder="1" applyAlignment="1">
      <alignment wrapText="1"/>
    </xf>
    <xf numFmtId="0" fontId="23" fillId="0" borderId="27" xfId="35" applyFont="1" applyBorder="1" applyAlignment="1">
      <alignment wrapText="1"/>
    </xf>
    <xf numFmtId="0" fontId="43" fillId="0" borderId="15" xfId="35" applyFont="1" applyFill="1" applyBorder="1" applyAlignment="1">
      <alignment horizontal="center" vertical="center" wrapText="1"/>
    </xf>
    <xf numFmtId="0" fontId="43" fillId="0" borderId="15" xfId="35" applyFont="1" applyFill="1" applyBorder="1" applyAlignment="1">
      <alignment vertical="center" wrapText="1"/>
    </xf>
    <xf numFmtId="4" fontId="44" fillId="0" borderId="15" xfId="35" applyNumberFormat="1" applyFont="1" applyFill="1" applyBorder="1" applyAlignment="1">
      <alignment vertical="center" wrapText="1"/>
    </xf>
    <xf numFmtId="4" fontId="44" fillId="0" borderId="27" xfId="35" applyNumberFormat="1" applyFont="1" applyFill="1" applyBorder="1" applyAlignment="1">
      <alignment vertical="center" wrapText="1"/>
    </xf>
    <xf numFmtId="0" fontId="43" fillId="0" borderId="0" xfId="35" applyFont="1" applyAlignment="1">
      <alignment wrapText="1"/>
    </xf>
    <xf numFmtId="0" fontId="45" fillId="0" borderId="15" xfId="35" applyFont="1" applyFill="1" applyBorder="1" applyAlignment="1">
      <alignment horizontal="center" vertical="center" wrapText="1"/>
    </xf>
    <xf numFmtId="0" fontId="45" fillId="0" borderId="15" xfId="35" applyFont="1" applyFill="1" applyBorder="1" applyAlignment="1">
      <alignment vertical="center" wrapText="1"/>
    </xf>
    <xf numFmtId="4" fontId="45" fillId="0" borderId="15" xfId="35" applyNumberFormat="1" applyFont="1" applyFill="1" applyBorder="1" applyAlignment="1">
      <alignment vertical="center" wrapText="1"/>
    </xf>
    <xf numFmtId="4" fontId="45" fillId="0" borderId="27" xfId="35" applyNumberFormat="1" applyFont="1" applyFill="1" applyBorder="1" applyAlignment="1">
      <alignment vertical="center" wrapText="1"/>
    </xf>
    <xf numFmtId="0" fontId="45" fillId="0" borderId="0" xfId="35" applyFont="1" applyAlignment="1">
      <alignment wrapText="1"/>
    </xf>
    <xf numFmtId="0" fontId="26" fillId="0" borderId="15" xfId="35" applyFont="1" applyFill="1" applyBorder="1" applyAlignment="1">
      <alignment horizontal="center" vertical="center" wrapText="1"/>
    </xf>
    <xf numFmtId="0" fontId="26" fillId="0" borderId="15" xfId="35" applyFont="1" applyFill="1" applyBorder="1" applyAlignment="1">
      <alignment vertical="center" wrapText="1"/>
    </xf>
    <xf numFmtId="4" fontId="26" fillId="0" borderId="15" xfId="35" applyNumberFormat="1" applyFont="1" applyFill="1" applyBorder="1" applyAlignment="1">
      <alignment vertical="center" wrapText="1"/>
    </xf>
    <xf numFmtId="4" fontId="26" fillId="0" borderId="15" xfId="35" applyNumberFormat="1" applyFont="1" applyBorder="1" applyAlignment="1">
      <alignment vertical="center" wrapText="1"/>
    </xf>
    <xf numFmtId="4" fontId="26" fillId="0" borderId="27" xfId="35" applyNumberFormat="1" applyFont="1" applyBorder="1" applyAlignment="1">
      <alignment vertical="center" wrapText="1"/>
    </xf>
    <xf numFmtId="0" fontId="26" fillId="0" borderId="0" xfId="35" applyFont="1" applyAlignment="1">
      <alignment vertical="top" wrapText="1"/>
    </xf>
    <xf numFmtId="0" fontId="23" fillId="0" borderId="15" xfId="35" applyFont="1" applyFill="1" applyBorder="1" applyAlignment="1">
      <alignment vertical="center" wrapText="1"/>
    </xf>
    <xf numFmtId="4" fontId="23" fillId="0" borderId="15" xfId="35" applyNumberFormat="1" applyFont="1" applyFill="1" applyBorder="1" applyAlignment="1">
      <alignment vertical="center" wrapText="1"/>
    </xf>
    <xf numFmtId="4" fontId="23" fillId="0" borderId="15" xfId="35" applyNumberFormat="1" applyFont="1" applyBorder="1" applyAlignment="1">
      <alignment vertical="center" wrapText="1"/>
    </xf>
    <xf numFmtId="4" fontId="23" fillId="0" borderId="27" xfId="35" applyNumberFormat="1" applyFont="1" applyBorder="1" applyAlignment="1">
      <alignment vertical="center" wrapText="1"/>
    </xf>
    <xf numFmtId="4" fontId="23" fillId="0" borderId="27" xfId="35" applyNumberFormat="1" applyFont="1" applyFill="1" applyBorder="1" applyAlignment="1">
      <alignment vertical="center" wrapText="1"/>
    </xf>
    <xf numFmtId="0" fontId="22" fillId="0" borderId="15" xfId="35" applyFont="1" applyFill="1" applyBorder="1" applyAlignment="1">
      <alignment horizontal="center" vertical="center" wrapText="1"/>
    </xf>
    <xf numFmtId="0" fontId="22" fillId="0" borderId="15" xfId="35" applyFont="1" applyFill="1" applyBorder="1" applyAlignment="1">
      <alignment vertical="center" wrapText="1"/>
    </xf>
    <xf numFmtId="4" fontId="22" fillId="0" borderId="15" xfId="35" applyNumberFormat="1" applyFont="1" applyFill="1" applyBorder="1" applyAlignment="1">
      <alignment vertical="center" wrapText="1"/>
    </xf>
    <xf numFmtId="4" fontId="22" fillId="0" borderId="15" xfId="35" applyNumberFormat="1" applyFont="1" applyBorder="1" applyAlignment="1">
      <alignment vertical="center" wrapText="1"/>
    </xf>
    <xf numFmtId="4" fontId="22" fillId="0" borderId="27" xfId="35" applyNumberFormat="1" applyFont="1" applyBorder="1" applyAlignment="1">
      <alignment vertical="center" wrapText="1"/>
    </xf>
    <xf numFmtId="0" fontId="22" fillId="0" borderId="0" xfId="35" applyFont="1" applyAlignment="1">
      <alignment vertical="top" wrapText="1"/>
    </xf>
    <xf numFmtId="0" fontId="22" fillId="0" borderId="22" xfId="35" applyFont="1" applyBorder="1" applyAlignment="1">
      <alignment horizontal="center" vertical="center" wrapText="1"/>
    </xf>
    <xf numFmtId="0" fontId="22" fillId="0" borderId="29" xfId="35" applyFont="1" applyBorder="1" applyAlignment="1">
      <alignment horizontal="center" vertical="center" wrapText="1"/>
    </xf>
    <xf numFmtId="0" fontId="22" fillId="0" borderId="24" xfId="35" applyFont="1" applyBorder="1" applyAlignment="1">
      <alignment vertical="center" wrapText="1"/>
    </xf>
    <xf numFmtId="0" fontId="23" fillId="0" borderId="22" xfId="35" applyFont="1" applyFill="1" applyBorder="1" applyAlignment="1">
      <alignment horizontal="center" vertical="center" wrapText="1"/>
    </xf>
    <xf numFmtId="0" fontId="23" fillId="0" borderId="29" xfId="35" applyFont="1" applyFill="1" applyBorder="1" applyAlignment="1">
      <alignment horizontal="center" vertical="center" wrapText="1"/>
    </xf>
    <xf numFmtId="0" fontId="23" fillId="0" borderId="24" xfId="35" applyFont="1" applyFill="1" applyBorder="1" applyAlignment="1">
      <alignment vertical="center" wrapText="1"/>
    </xf>
    <xf numFmtId="0" fontId="23" fillId="0" borderId="0" xfId="35" applyFont="1" applyAlignment="1">
      <alignment vertical="top" wrapText="1"/>
    </xf>
    <xf numFmtId="0" fontId="28" fillId="0" borderId="15" xfId="35" applyFont="1" applyFill="1" applyBorder="1" applyAlignment="1">
      <alignment horizontal="center" vertical="center" wrapText="1"/>
    </xf>
    <xf numFmtId="0" fontId="28" fillId="0" borderId="15" xfId="35" applyFont="1" applyFill="1" applyBorder="1" applyAlignment="1">
      <alignment vertical="center" wrapText="1"/>
    </xf>
    <xf numFmtId="4" fontId="43" fillId="0" borderId="15" xfId="35" applyNumberFormat="1" applyFont="1" applyFill="1" applyBorder="1" applyAlignment="1">
      <alignment vertical="center" wrapText="1"/>
    </xf>
    <xf numFmtId="4" fontId="43" fillId="0" borderId="15" xfId="35" applyNumberFormat="1" applyFont="1" applyBorder="1" applyAlignment="1">
      <alignment vertical="center" wrapText="1"/>
    </xf>
    <xf numFmtId="4" fontId="43" fillId="0" borderId="27" xfId="35" applyNumberFormat="1" applyFont="1" applyBorder="1" applyAlignment="1">
      <alignment vertical="center" wrapText="1"/>
    </xf>
    <xf numFmtId="0" fontId="28" fillId="0" borderId="0" xfId="35" applyFont="1" applyAlignment="1">
      <alignment wrapText="1"/>
    </xf>
    <xf numFmtId="0" fontId="13" fillId="0" borderId="25" xfId="35" applyFont="1" applyFill="1" applyBorder="1" applyAlignment="1">
      <alignment horizontal="center" vertical="center" wrapText="1"/>
    </xf>
    <xf numFmtId="0" fontId="13" fillId="0" borderId="0" xfId="35" applyFont="1" applyFill="1" applyBorder="1" applyAlignment="1">
      <alignment horizontal="center" vertical="center" wrapText="1"/>
    </xf>
    <xf numFmtId="0" fontId="13" fillId="0" borderId="29" xfId="35" applyFont="1" applyFill="1" applyBorder="1" applyAlignment="1">
      <alignment vertical="center" wrapText="1"/>
    </xf>
    <xf numFmtId="4" fontId="17" fillId="0" borderId="30" xfId="35" applyNumberFormat="1" applyFont="1" applyFill="1" applyBorder="1" applyAlignment="1">
      <alignment vertical="center" wrapText="1"/>
    </xf>
    <xf numFmtId="4" fontId="17" fillId="0" borderId="15" xfId="35" applyNumberFormat="1" applyFont="1" applyBorder="1" applyAlignment="1">
      <alignment vertical="center" wrapText="1"/>
    </xf>
    <xf numFmtId="4" fontId="17" fillId="0" borderId="27" xfId="35" applyNumberFormat="1" applyFont="1" applyBorder="1" applyAlignment="1">
      <alignment vertical="center" wrapText="1"/>
    </xf>
    <xf numFmtId="0" fontId="44" fillId="0" borderId="15" xfId="35" applyFont="1" applyFill="1" applyBorder="1" applyAlignment="1">
      <alignment horizontal="center" vertical="center" wrapText="1"/>
    </xf>
    <xf numFmtId="0" fontId="44" fillId="0" borderId="15" xfId="35" applyFont="1" applyFill="1" applyBorder="1" applyAlignment="1">
      <alignment vertical="center" wrapText="1"/>
    </xf>
    <xf numFmtId="0" fontId="44" fillId="0" borderId="0" xfId="35" applyFont="1" applyAlignment="1">
      <alignment wrapText="1"/>
    </xf>
    <xf numFmtId="4" fontId="44" fillId="0" borderId="15" xfId="35" applyNumberFormat="1" applyFont="1" applyBorder="1" applyAlignment="1">
      <alignment vertical="center" wrapText="1"/>
    </xf>
    <xf numFmtId="4" fontId="44" fillId="0" borderId="27" xfId="35" applyNumberFormat="1" applyFont="1" applyBorder="1" applyAlignment="1">
      <alignment vertical="center" wrapText="1"/>
    </xf>
    <xf numFmtId="0" fontId="13" fillId="0" borderId="15" xfId="35" applyFont="1" applyFill="1" applyBorder="1" applyAlignment="1">
      <alignment horizontal="center" vertical="center" wrapText="1"/>
    </xf>
    <xf numFmtId="0" fontId="13" fillId="0" borderId="15" xfId="35" applyFont="1" applyFill="1" applyBorder="1" applyAlignment="1">
      <alignment vertical="center" wrapText="1"/>
    </xf>
    <xf numFmtId="0" fontId="28" fillId="0" borderId="25" xfId="35" applyFont="1" applyFill="1" applyBorder="1" applyAlignment="1">
      <alignment horizontal="center" vertical="center" wrapText="1"/>
    </xf>
    <xf numFmtId="0" fontId="28" fillId="0" borderId="0" xfId="35" applyFont="1" applyFill="1" applyBorder="1" applyAlignment="1">
      <alignment horizontal="center" vertical="center" wrapText="1"/>
    </xf>
    <xf numFmtId="0" fontId="28" fillId="0" borderId="29" xfId="35" applyFont="1" applyFill="1" applyBorder="1" applyAlignment="1">
      <alignment vertical="center" wrapText="1"/>
    </xf>
    <xf numFmtId="4" fontId="43" fillId="0" borderId="30" xfId="35" applyNumberFormat="1" applyFont="1" applyFill="1" applyBorder="1" applyAlignment="1">
      <alignment vertical="center" wrapText="1"/>
    </xf>
    <xf numFmtId="4" fontId="17" fillId="0" borderId="15" xfId="35" applyNumberFormat="1" applyFont="1" applyFill="1" applyBorder="1" applyAlignment="1">
      <alignment vertical="center" wrapText="1"/>
    </xf>
    <xf numFmtId="0" fontId="43" fillId="0" borderId="22" xfId="35" applyFont="1" applyFill="1" applyBorder="1" applyAlignment="1">
      <alignment horizontal="center" vertical="center" wrapText="1"/>
    </xf>
    <xf numFmtId="0" fontId="43" fillId="0" borderId="22" xfId="35" applyFont="1" applyFill="1" applyBorder="1" applyAlignment="1">
      <alignment vertical="center" wrapText="1"/>
    </xf>
    <xf numFmtId="4" fontId="17" fillId="0" borderId="22" xfId="35" applyNumberFormat="1" applyFont="1" applyFill="1" applyBorder="1" applyAlignment="1">
      <alignment vertical="center" wrapText="1"/>
    </xf>
    <xf numFmtId="0" fontId="22" fillId="0" borderId="0" xfId="35" applyFont="1" applyAlignment="1">
      <alignment wrapText="1"/>
    </xf>
    <xf numFmtId="49" fontId="22" fillId="0" borderId="15" xfId="35" applyNumberFormat="1" applyFont="1" applyFill="1" applyBorder="1" applyAlignment="1">
      <alignment horizontal="center" vertical="center" wrapText="1"/>
    </xf>
    <xf numFmtId="49" fontId="23" fillId="0" borderId="15" xfId="35" applyNumberFormat="1" applyFont="1" applyFill="1" applyBorder="1" applyAlignment="1">
      <alignment horizontal="center" vertical="center" wrapText="1"/>
    </xf>
    <xf numFmtId="0" fontId="23" fillId="0" borderId="24" xfId="35" applyFont="1" applyBorder="1" applyAlignment="1">
      <alignment vertical="center" wrapText="1"/>
    </xf>
    <xf numFmtId="0" fontId="23" fillId="0" borderId="15" xfId="35" applyFont="1" applyBorder="1" applyAlignment="1">
      <alignment vertical="center" wrapText="1"/>
    </xf>
    <xf numFmtId="49" fontId="13" fillId="0" borderId="16" xfId="35" applyNumberFormat="1" applyFont="1" applyFill="1" applyBorder="1" applyAlignment="1">
      <alignment horizontal="center" vertical="center" wrapText="1"/>
    </xf>
    <xf numFmtId="0" fontId="13" fillId="0" borderId="16" xfId="35" applyFont="1" applyFill="1" applyBorder="1" applyAlignment="1">
      <alignment horizontal="center" vertical="center" wrapText="1"/>
    </xf>
    <xf numFmtId="0" fontId="22" fillId="0" borderId="25" xfId="35" applyFont="1" applyFill="1" applyBorder="1" applyAlignment="1">
      <alignment vertical="center" wrapText="1"/>
    </xf>
    <xf numFmtId="4" fontId="23" fillId="0" borderId="32" xfId="35" applyNumberFormat="1" applyFont="1" applyFill="1" applyBorder="1" applyAlignment="1">
      <alignment vertical="center" wrapText="1"/>
    </xf>
    <xf numFmtId="4" fontId="13" fillId="0" borderId="0" xfId="35" applyNumberFormat="1" applyFont="1" applyAlignment="1">
      <alignment wrapText="1"/>
    </xf>
    <xf numFmtId="0" fontId="13" fillId="0" borderId="24" xfId="35" applyFont="1" applyFill="1" applyBorder="1" applyAlignment="1">
      <alignment wrapText="1"/>
    </xf>
    <xf numFmtId="0" fontId="13" fillId="0" borderId="23" xfId="35" applyFont="1" applyFill="1" applyBorder="1" applyAlignment="1">
      <alignment wrapText="1"/>
    </xf>
    <xf numFmtId="0" fontId="13" fillId="0" borderId="29" xfId="35" applyFont="1" applyFill="1" applyBorder="1" applyAlignment="1">
      <alignment wrapText="1"/>
    </xf>
    <xf numFmtId="4" fontId="13" fillId="0" borderId="29" xfId="35" applyNumberFormat="1" applyFont="1" applyFill="1" applyBorder="1" applyAlignment="1">
      <alignment wrapText="1"/>
    </xf>
    <xf numFmtId="4" fontId="13" fillId="0" borderId="16" xfId="35" applyNumberFormat="1" applyFont="1" applyBorder="1" applyAlignment="1">
      <alignment wrapText="1"/>
    </xf>
    <xf numFmtId="4" fontId="28" fillId="0" borderId="16" xfId="35" applyNumberFormat="1" applyFont="1" applyFill="1" applyBorder="1" applyAlignment="1">
      <alignment wrapText="1"/>
    </xf>
    <xf numFmtId="4" fontId="28" fillId="0" borderId="16" xfId="35" applyNumberFormat="1" applyFont="1" applyBorder="1" applyAlignment="1">
      <alignment wrapText="1"/>
    </xf>
    <xf numFmtId="4" fontId="28" fillId="0" borderId="30" xfId="35" applyNumberFormat="1" applyFont="1" applyBorder="1" applyAlignment="1">
      <alignment wrapText="1"/>
    </xf>
    <xf numFmtId="4" fontId="13" fillId="0" borderId="16" xfId="35" applyNumberFormat="1" applyFont="1" applyFill="1" applyBorder="1" applyAlignment="1">
      <alignment wrapText="1"/>
    </xf>
    <xf numFmtId="0" fontId="28" fillId="0" borderId="26" xfId="35" applyFont="1" applyFill="1" applyBorder="1" applyAlignment="1">
      <alignment wrapText="1"/>
    </xf>
    <xf numFmtId="0" fontId="28" fillId="0" borderId="21" xfId="35" applyFont="1" applyFill="1" applyBorder="1" applyAlignment="1">
      <alignment wrapText="1"/>
    </xf>
    <xf numFmtId="4" fontId="28" fillId="0" borderId="20" xfId="35" applyNumberFormat="1" applyFont="1" applyFill="1" applyBorder="1" applyAlignment="1">
      <alignment wrapText="1"/>
    </xf>
    <xf numFmtId="4" fontId="28" fillId="0" borderId="20" xfId="35" applyNumberFormat="1" applyFont="1" applyBorder="1" applyAlignment="1">
      <alignment wrapText="1"/>
    </xf>
    <xf numFmtId="4" fontId="28" fillId="0" borderId="31" xfId="35" applyNumberFormat="1" applyFont="1" applyBorder="1" applyAlignment="1">
      <alignment wrapText="1"/>
    </xf>
    <xf numFmtId="0" fontId="21" fillId="0" borderId="24" xfId="35" applyFont="1" applyFill="1" applyBorder="1" applyAlignment="1">
      <alignment wrapText="1"/>
    </xf>
    <xf numFmtId="0" fontId="21" fillId="0" borderId="23" xfId="35" applyFont="1" applyFill="1" applyBorder="1" applyAlignment="1">
      <alignment wrapText="1"/>
    </xf>
    <xf numFmtId="4" fontId="21" fillId="0" borderId="22" xfId="35" applyNumberFormat="1" applyFont="1" applyFill="1" applyBorder="1" applyAlignment="1">
      <alignment wrapText="1"/>
    </xf>
    <xf numFmtId="4" fontId="21" fillId="0" borderId="22" xfId="35" applyNumberFormat="1" applyFont="1" applyBorder="1" applyAlignment="1">
      <alignment wrapText="1"/>
    </xf>
    <xf numFmtId="4" fontId="21" fillId="0" borderId="29" xfId="35" applyNumberFormat="1" applyFont="1" applyBorder="1" applyAlignment="1">
      <alignment wrapText="1"/>
    </xf>
    <xf numFmtId="4" fontId="21" fillId="0" borderId="16" xfId="35" applyNumberFormat="1" applyFont="1" applyFill="1" applyBorder="1" applyAlignment="1">
      <alignment wrapText="1"/>
    </xf>
    <xf numFmtId="4" fontId="21" fillId="0" borderId="16" xfId="35" applyNumberFormat="1" applyFont="1" applyBorder="1" applyAlignment="1">
      <alignment wrapText="1"/>
    </xf>
    <xf numFmtId="4" fontId="13" fillId="0" borderId="30" xfId="35" applyNumberFormat="1" applyFont="1" applyBorder="1" applyAlignment="1">
      <alignment wrapText="1"/>
    </xf>
    <xf numFmtId="4" fontId="13" fillId="0" borderId="20" xfId="35" applyNumberFormat="1" applyFont="1" applyFill="1" applyBorder="1" applyAlignment="1">
      <alignment wrapText="1"/>
    </xf>
    <xf numFmtId="4" fontId="13" fillId="0" borderId="20" xfId="35" applyNumberFormat="1" applyFont="1" applyBorder="1" applyAlignment="1">
      <alignment wrapText="1"/>
    </xf>
    <xf numFmtId="4" fontId="13" fillId="0" borderId="31" xfId="35" applyNumberFormat="1" applyFont="1" applyBorder="1" applyAlignment="1">
      <alignment wrapText="1"/>
    </xf>
    <xf numFmtId="0" fontId="13" fillId="0" borderId="33" xfId="35" applyFont="1" applyBorder="1" applyAlignment="1">
      <alignment wrapText="1"/>
    </xf>
    <xf numFmtId="0" fontId="13" fillId="0" borderId="34" xfId="35" applyFont="1" applyBorder="1" applyAlignment="1">
      <alignment wrapText="1"/>
    </xf>
    <xf numFmtId="0" fontId="13" fillId="0" borderId="35" xfId="35" applyFont="1" applyBorder="1" applyAlignment="1">
      <alignment wrapText="1"/>
    </xf>
    <xf numFmtId="0" fontId="13" fillId="0" borderId="36" xfId="35" applyFont="1" applyFill="1" applyBorder="1" applyAlignment="1">
      <alignment wrapText="1"/>
    </xf>
    <xf numFmtId="0" fontId="13" fillId="0" borderId="0" xfId="35" applyFont="1" applyFill="1" applyAlignment="1">
      <alignment wrapText="1"/>
    </xf>
    <xf numFmtId="0" fontId="2" fillId="0" borderId="0" xfId="29" applyFill="1" applyAlignment="1">
      <alignment horizontal="center"/>
    </xf>
    <xf numFmtId="0" fontId="2" fillId="0" borderId="0" xfId="29" applyFill="1"/>
    <xf numFmtId="0" fontId="47" fillId="0" borderId="0" xfId="29" applyFont="1" applyFill="1"/>
    <xf numFmtId="0" fontId="14" fillId="0" borderId="0" xfId="29" applyFont="1" applyFill="1" applyAlignment="1">
      <alignment horizontal="center"/>
    </xf>
    <xf numFmtId="0" fontId="50" fillId="0" borderId="0" xfId="29" applyFont="1" applyFill="1" applyAlignment="1">
      <alignment horizontal="center"/>
    </xf>
    <xf numFmtId="0" fontId="13" fillId="0" borderId="0" xfId="29" applyFont="1" applyFill="1"/>
    <xf numFmtId="0" fontId="16" fillId="0" borderId="15" xfId="29" applyFont="1" applyFill="1" applyBorder="1" applyAlignment="1">
      <alignment horizontal="center" vertical="center" wrapText="1"/>
    </xf>
    <xf numFmtId="0" fontId="54" fillId="0" borderId="15" xfId="29" applyFont="1" applyFill="1" applyBorder="1" applyAlignment="1">
      <alignment horizontal="center"/>
    </xf>
    <xf numFmtId="0" fontId="54" fillId="0" borderId="0" xfId="29" applyFont="1" applyFill="1" applyAlignment="1">
      <alignment horizontal="center"/>
    </xf>
    <xf numFmtId="0" fontId="55" fillId="0" borderId="0" xfId="29" applyFont="1" applyFill="1" applyBorder="1" applyAlignment="1"/>
    <xf numFmtId="0" fontId="55" fillId="0" borderId="0" xfId="29" applyFont="1" applyFill="1" applyBorder="1" applyAlignment="1">
      <alignment horizontal="center"/>
    </xf>
    <xf numFmtId="3" fontId="13" fillId="0" borderId="15" xfId="29" applyNumberFormat="1" applyFont="1" applyFill="1" applyBorder="1" applyAlignment="1">
      <alignment horizontal="center" vertical="center" wrapText="1"/>
    </xf>
    <xf numFmtId="0" fontId="1" fillId="0" borderId="0" xfId="28" applyAlignment="1">
      <alignment vertical="center"/>
    </xf>
    <xf numFmtId="3" fontId="56" fillId="7" borderId="15" xfId="25" applyNumberFormat="1" applyFont="1" applyFill="1" applyBorder="1" applyAlignment="1">
      <alignment vertical="center"/>
    </xf>
    <xf numFmtId="3" fontId="57" fillId="0" borderId="15" xfId="25" applyNumberFormat="1" applyFont="1" applyFill="1" applyBorder="1" applyAlignment="1">
      <alignment vertical="center"/>
    </xf>
    <xf numFmtId="3" fontId="56" fillId="0" borderId="15" xfId="25" applyNumberFormat="1" applyFont="1" applyFill="1" applyBorder="1" applyAlignment="1">
      <alignment vertical="center"/>
    </xf>
    <xf numFmtId="3" fontId="5" fillId="0" borderId="15" xfId="10" applyNumberFormat="1" applyFont="1" applyFill="1" applyBorder="1" applyAlignment="1">
      <alignment horizontal="center"/>
    </xf>
    <xf numFmtId="3" fontId="16" fillId="0" borderId="15" xfId="29" applyNumberFormat="1" applyFont="1" applyFill="1" applyBorder="1" applyAlignment="1">
      <alignment horizontal="center" vertical="center"/>
    </xf>
    <xf numFmtId="0" fontId="30" fillId="0" borderId="0" xfId="28" applyFont="1" applyAlignment="1">
      <alignment vertical="center"/>
    </xf>
    <xf numFmtId="3" fontId="11" fillId="7" borderId="15" xfId="25" applyNumberFormat="1" applyFont="1" applyFill="1" applyBorder="1" applyAlignment="1">
      <alignment vertical="center"/>
    </xf>
    <xf numFmtId="0" fontId="1" fillId="0" borderId="28" xfId="28" applyBorder="1" applyAlignment="1">
      <alignment horizontal="center"/>
    </xf>
    <xf numFmtId="0" fontId="1" fillId="0" borderId="18" xfId="28" applyBorder="1" applyAlignment="1">
      <alignment horizontal="center"/>
    </xf>
    <xf numFmtId="0" fontId="1" fillId="0" borderId="27" xfId="28" applyBorder="1" applyAlignment="1">
      <alignment horizontal="center"/>
    </xf>
    <xf numFmtId="0" fontId="1" fillId="0" borderId="0" xfId="28"/>
    <xf numFmtId="3" fontId="11" fillId="0" borderId="15" xfId="28" applyNumberFormat="1" applyFont="1" applyBorder="1" applyAlignment="1">
      <alignment horizontal="right" vertical="center"/>
    </xf>
    <xf numFmtId="0" fontId="13" fillId="0" borderId="0" xfId="29" applyFont="1" applyFill="1" applyBorder="1" applyAlignment="1">
      <alignment vertical="center"/>
    </xf>
    <xf numFmtId="0" fontId="13" fillId="0" borderId="0" xfId="29" applyFont="1" applyFill="1" applyAlignment="1">
      <alignment vertical="center"/>
    </xf>
    <xf numFmtId="3" fontId="16" fillId="0" borderId="15" xfId="29" applyNumberFormat="1" applyFont="1" applyFill="1" applyBorder="1" applyAlignment="1">
      <alignment horizontal="center" vertical="center" wrapText="1"/>
    </xf>
    <xf numFmtId="0" fontId="16" fillId="0" borderId="0" xfId="29" applyFont="1" applyFill="1" applyAlignment="1">
      <alignment horizontal="right" vertical="center"/>
    </xf>
    <xf numFmtId="0" fontId="2" fillId="0" borderId="0" xfId="29" applyFill="1" applyAlignment="1">
      <alignment horizontal="right"/>
    </xf>
    <xf numFmtId="3" fontId="15" fillId="0" borderId="15" xfId="29" applyNumberFormat="1" applyFont="1" applyFill="1" applyBorder="1" applyAlignment="1">
      <alignment horizontal="center" vertical="center" wrapText="1"/>
    </xf>
    <xf numFmtId="0" fontId="15" fillId="0" borderId="0" xfId="29" applyFont="1" applyFill="1" applyAlignment="1">
      <alignment horizontal="right" vertical="center"/>
    </xf>
    <xf numFmtId="0" fontId="61" fillId="0" borderId="0" xfId="29" applyFont="1" applyFill="1" applyAlignment="1">
      <alignment horizontal="right"/>
    </xf>
    <xf numFmtId="0" fontId="49" fillId="0" borderId="0" xfId="29" applyNumberFormat="1" applyFont="1" applyFill="1" applyAlignment="1">
      <alignment wrapText="1"/>
    </xf>
    <xf numFmtId="3" fontId="13" fillId="0" borderId="15" xfId="29" applyNumberFormat="1" applyFont="1" applyFill="1" applyBorder="1" applyAlignment="1">
      <alignment horizontal="right" vertical="center" wrapText="1"/>
    </xf>
    <xf numFmtId="0" fontId="1" fillId="0" borderId="0" xfId="25" applyAlignment="1">
      <alignment vertical="center"/>
    </xf>
    <xf numFmtId="3" fontId="56" fillId="8" borderId="15" xfId="25" applyNumberFormat="1" applyFont="1" applyFill="1" applyBorder="1" applyAlignment="1">
      <alignment vertical="center"/>
    </xf>
    <xf numFmtId="3" fontId="16" fillId="0" borderId="15" xfId="29" applyNumberFormat="1" applyFont="1" applyFill="1" applyBorder="1" applyAlignment="1">
      <alignment horizontal="right" vertical="center"/>
    </xf>
    <xf numFmtId="0" fontId="30" fillId="0" borderId="0" xfId="25" applyFont="1" applyAlignment="1">
      <alignment vertical="center"/>
    </xf>
    <xf numFmtId="3" fontId="11" fillId="8" borderId="15" xfId="25" applyNumberFormat="1" applyFont="1" applyFill="1" applyBorder="1" applyAlignment="1">
      <alignment vertical="center"/>
    </xf>
    <xf numFmtId="0" fontId="1" fillId="0" borderId="0" xfId="25"/>
    <xf numFmtId="0" fontId="13" fillId="0" borderId="0" xfId="34" applyFont="1" applyFill="1" applyAlignment="1">
      <alignment vertical="center"/>
    </xf>
    <xf numFmtId="3" fontId="13" fillId="0" borderId="0" xfId="34" applyNumberFormat="1" applyFont="1" applyFill="1" applyAlignment="1">
      <alignment horizontal="center" vertical="center" wrapText="1"/>
    </xf>
    <xf numFmtId="3" fontId="13" fillId="0" borderId="0" xfId="34" applyNumberFormat="1" applyFont="1" applyFill="1" applyAlignment="1">
      <alignment horizontal="center" vertical="center"/>
    </xf>
    <xf numFmtId="3" fontId="13" fillId="0" borderId="0" xfId="34" applyNumberFormat="1" applyFont="1" applyFill="1" applyAlignment="1">
      <alignment horizontal="left" vertical="center"/>
    </xf>
    <xf numFmtId="3" fontId="50" fillId="0" borderId="0" xfId="34" applyNumberFormat="1" applyFont="1" applyFill="1" applyAlignment="1">
      <alignment horizontal="left" vertical="center"/>
    </xf>
    <xf numFmtId="3" fontId="13" fillId="0" borderId="0" xfId="34" applyNumberFormat="1" applyFont="1" applyFill="1" applyAlignment="1">
      <alignment horizontal="left" vertical="center" wrapText="1"/>
    </xf>
    <xf numFmtId="0" fontId="13" fillId="0" borderId="0" xfId="34" applyFont="1" applyFill="1" applyAlignment="1">
      <alignment vertical="center" wrapText="1"/>
    </xf>
    <xf numFmtId="0" fontId="13" fillId="0" borderId="0" xfId="34" applyFont="1" applyFill="1" applyAlignment="1">
      <alignment horizontal="center" vertical="center"/>
    </xf>
    <xf numFmtId="0" fontId="13" fillId="0" borderId="0" xfId="34" applyFont="1" applyFill="1" applyAlignment="1">
      <alignment horizontal="center" vertical="center" wrapText="1"/>
    </xf>
    <xf numFmtId="0" fontId="6" fillId="0" borderId="0" xfId="34" applyFont="1" applyFill="1" applyAlignment="1">
      <alignment horizontal="center" vertical="center" wrapText="1"/>
    </xf>
    <xf numFmtId="0" fontId="50" fillId="0" borderId="0" xfId="34" applyFont="1" applyFill="1" applyAlignment="1">
      <alignment vertical="center" wrapText="1"/>
    </xf>
    <xf numFmtId="3" fontId="43" fillId="0" borderId="18" xfId="34" applyNumberFormat="1" applyFont="1" applyFill="1" applyBorder="1" applyAlignment="1">
      <alignment horizontal="center" vertical="top" wrapText="1"/>
    </xf>
    <xf numFmtId="3" fontId="43" fillId="0" borderId="27" xfId="34" applyNumberFormat="1" applyFont="1" applyFill="1" applyBorder="1" applyAlignment="1">
      <alignment horizontal="center" vertical="top" wrapText="1"/>
    </xf>
    <xf numFmtId="0" fontId="16" fillId="0" borderId="0" xfId="34" applyFont="1" applyFill="1" applyAlignment="1">
      <alignment vertical="center"/>
    </xf>
    <xf numFmtId="0" fontId="43" fillId="0" borderId="22" xfId="34" applyFont="1" applyFill="1" applyBorder="1" applyAlignment="1">
      <alignment horizontal="center" vertical="top" wrapText="1"/>
    </xf>
    <xf numFmtId="0" fontId="43" fillId="0" borderId="20" xfId="34" applyFont="1" applyFill="1" applyBorder="1" applyAlignment="1">
      <alignment horizontal="center" vertical="top" wrapText="1"/>
    </xf>
    <xf numFmtId="3" fontId="43" fillId="0" borderId="15" xfId="34" applyNumberFormat="1" applyFont="1" applyFill="1" applyBorder="1" applyAlignment="1">
      <alignment horizontal="center" vertical="top" wrapText="1"/>
    </xf>
    <xf numFmtId="0" fontId="34" fillId="0" borderId="15" xfId="34" applyFont="1" applyFill="1" applyBorder="1" applyAlignment="1">
      <alignment horizontal="center" vertical="center" wrapText="1"/>
    </xf>
    <xf numFmtId="0" fontId="6" fillId="0" borderId="20" xfId="36" applyFont="1" applyFill="1" applyBorder="1" applyAlignment="1">
      <alignment horizontal="center" vertical="top"/>
    </xf>
    <xf numFmtId="3" fontId="34" fillId="0" borderId="15" xfId="34" applyNumberFormat="1" applyFont="1" applyFill="1" applyBorder="1" applyAlignment="1">
      <alignment horizontal="center" vertical="center" wrapText="1"/>
    </xf>
    <xf numFmtId="0" fontId="34" fillId="0" borderId="0" xfId="34" applyFont="1" applyFill="1" applyAlignment="1">
      <alignment horizontal="center" vertical="center"/>
    </xf>
    <xf numFmtId="0" fontId="62" fillId="0" borderId="25" xfId="34" applyFont="1" applyFill="1" applyBorder="1" applyAlignment="1">
      <alignment horizontal="center" vertical="center"/>
    </xf>
    <xf numFmtId="0" fontId="62" fillId="0" borderId="23" xfId="34" applyFont="1" applyFill="1" applyBorder="1" applyAlignment="1">
      <alignment horizontal="center" vertical="center"/>
    </xf>
    <xf numFmtId="0" fontId="62" fillId="0" borderId="23" xfId="34" applyFont="1" applyFill="1" applyBorder="1" applyAlignment="1">
      <alignment horizontal="center" vertical="center" wrapText="1"/>
    </xf>
    <xf numFmtId="0" fontId="34" fillId="0" borderId="23" xfId="34" applyFont="1" applyFill="1" applyBorder="1" applyAlignment="1">
      <alignment horizontal="center" vertical="center" wrapText="1"/>
    </xf>
    <xf numFmtId="0" fontId="63" fillId="0" borderId="23" xfId="34" applyFont="1" applyFill="1" applyBorder="1" applyAlignment="1">
      <alignment horizontal="center" vertical="center" wrapText="1"/>
    </xf>
    <xf numFmtId="3" fontId="62" fillId="0" borderId="23" xfId="34" applyNumberFormat="1" applyFont="1" applyFill="1" applyBorder="1" applyAlignment="1">
      <alignment horizontal="center" vertical="center" wrapText="1"/>
    </xf>
    <xf numFmtId="3" fontId="62" fillId="0" borderId="29" xfId="34" applyNumberFormat="1" applyFont="1" applyFill="1" applyBorder="1" applyAlignment="1">
      <alignment horizontal="center" vertical="center" wrapText="1"/>
    </xf>
    <xf numFmtId="0" fontId="62" fillId="0" borderId="0" xfId="34" applyFont="1" applyFill="1" applyAlignment="1">
      <alignment horizontal="center" vertical="center"/>
    </xf>
    <xf numFmtId="0" fontId="64" fillId="0" borderId="29" xfId="34" applyFont="1" applyFill="1" applyBorder="1" applyAlignment="1">
      <alignment horizontal="center" vertical="center" wrapText="1"/>
    </xf>
    <xf numFmtId="3" fontId="64" fillId="0" borderId="27" xfId="34" applyNumberFormat="1" applyFont="1" applyFill="1" applyBorder="1" applyAlignment="1">
      <alignment horizontal="right" vertical="center" wrapText="1"/>
    </xf>
    <xf numFmtId="3" fontId="64" fillId="0" borderId="15" xfId="34" applyNumberFormat="1" applyFont="1" applyFill="1" applyBorder="1" applyAlignment="1">
      <alignment horizontal="right" vertical="center" wrapText="1"/>
    </xf>
    <xf numFmtId="0" fontId="64" fillId="0" borderId="0" xfId="34" applyFont="1" applyFill="1" applyAlignment="1">
      <alignment horizontal="center" vertical="center"/>
    </xf>
    <xf numFmtId="0" fontId="89" fillId="0" borderId="15" xfId="9" applyFont="1" applyFill="1" applyBorder="1" applyAlignment="1">
      <alignment horizontal="center" vertical="center" wrapText="1"/>
    </xf>
    <xf numFmtId="0" fontId="89" fillId="0" borderId="31" xfId="9" applyFont="1" applyFill="1" applyBorder="1" applyAlignment="1">
      <alignment horizontal="center" vertical="center" wrapText="1"/>
    </xf>
    <xf numFmtId="0" fontId="62" fillId="0" borderId="25" xfId="34" applyFont="1" applyFill="1" applyBorder="1" applyAlignment="1">
      <alignment horizontal="center"/>
    </xf>
    <xf numFmtId="0" fontId="62" fillId="0" borderId="0" xfId="34" applyFont="1" applyFill="1" applyBorder="1" applyAlignment="1">
      <alignment horizontal="center"/>
    </xf>
    <xf numFmtId="0" fontId="62" fillId="0" borderId="0" xfId="34" applyFont="1" applyFill="1" applyBorder="1" applyAlignment="1">
      <alignment horizontal="center" wrapText="1"/>
    </xf>
    <xf numFmtId="0" fontId="62" fillId="0" borderId="0" xfId="34" applyFont="1" applyFill="1" applyBorder="1" applyAlignment="1">
      <alignment horizontal="left" wrapText="1"/>
    </xf>
    <xf numFmtId="0" fontId="34" fillId="0" borderId="0" xfId="34" applyFont="1" applyFill="1" applyBorder="1" applyAlignment="1">
      <alignment horizontal="center" vertical="center" wrapText="1"/>
    </xf>
    <xf numFmtId="0" fontId="63" fillId="0" borderId="0" xfId="34" applyFont="1" applyFill="1" applyBorder="1" applyAlignment="1">
      <alignment horizontal="center" vertical="center" wrapText="1"/>
    </xf>
    <xf numFmtId="3" fontId="62" fillId="0" borderId="0" xfId="34" applyNumberFormat="1" applyFont="1" applyFill="1" applyBorder="1" applyAlignment="1">
      <alignment horizontal="center" vertical="center" wrapText="1"/>
    </xf>
    <xf numFmtId="3" fontId="62" fillId="0" borderId="30" xfId="34" applyNumberFormat="1" applyFont="1" applyFill="1" applyBorder="1" applyAlignment="1">
      <alignment horizontal="center" vertical="center" wrapText="1"/>
    </xf>
    <xf numFmtId="0" fontId="62" fillId="0" borderId="0" xfId="34" applyFont="1" applyFill="1" applyAlignment="1">
      <alignment horizontal="center"/>
    </xf>
    <xf numFmtId="0" fontId="64" fillId="0" borderId="29" xfId="34" applyFont="1" applyFill="1" applyBorder="1" applyAlignment="1">
      <alignment horizontal="center" vertical="center"/>
    </xf>
    <xf numFmtId="3" fontId="25" fillId="0" borderId="15" xfId="34" applyNumberFormat="1" applyFont="1" applyFill="1" applyBorder="1" applyAlignment="1">
      <alignment horizontal="right" vertical="center"/>
    </xf>
    <xf numFmtId="0" fontId="25" fillId="0" borderId="15" xfId="34" applyFont="1" applyFill="1" applyBorder="1" applyAlignment="1">
      <alignment horizontal="right" vertical="center"/>
    </xf>
    <xf numFmtId="0" fontId="25" fillId="0" borderId="0" xfId="34" applyFont="1" applyFill="1" applyAlignment="1">
      <alignment vertical="center"/>
    </xf>
    <xf numFmtId="0" fontId="90" fillId="0" borderId="15" xfId="9" applyFont="1" applyFill="1" applyBorder="1" applyAlignment="1">
      <alignment horizontal="center" vertical="center"/>
    </xf>
    <xf numFmtId="0" fontId="90" fillId="0" borderId="31" xfId="9" applyFont="1" applyFill="1" applyBorder="1" applyAlignment="1">
      <alignment horizontal="center" vertical="center"/>
    </xf>
    <xf numFmtId="0" fontId="62" fillId="0" borderId="26" xfId="34" applyFont="1" applyFill="1" applyBorder="1" applyAlignment="1">
      <alignment horizontal="center"/>
    </xf>
    <xf numFmtId="0" fontId="62" fillId="0" borderId="21" xfId="34" applyFont="1" applyFill="1" applyBorder="1" applyAlignment="1">
      <alignment horizontal="center"/>
    </xf>
    <xf numFmtId="0" fontId="62" fillId="0" borderId="21" xfId="34" applyFont="1" applyFill="1" applyBorder="1" applyAlignment="1">
      <alignment horizontal="center" wrapText="1"/>
    </xf>
    <xf numFmtId="0" fontId="34" fillId="0" borderId="21" xfId="34" applyFont="1" applyFill="1" applyBorder="1" applyAlignment="1">
      <alignment horizontal="center" vertical="center" wrapText="1"/>
    </xf>
    <xf numFmtId="0" fontId="63" fillId="0" borderId="21" xfId="34" applyFont="1" applyFill="1" applyBorder="1" applyAlignment="1">
      <alignment horizontal="center" vertical="center" wrapText="1"/>
    </xf>
    <xf numFmtId="3" fontId="62" fillId="0" borderId="21" xfId="34" applyNumberFormat="1" applyFont="1" applyFill="1" applyBorder="1" applyAlignment="1">
      <alignment horizontal="center" vertical="center" wrapText="1"/>
    </xf>
    <xf numFmtId="3" fontId="62" fillId="0" borderId="31" xfId="34" applyNumberFormat="1" applyFont="1" applyFill="1" applyBorder="1" applyAlignment="1">
      <alignment horizontal="center" vertical="center" wrapText="1"/>
    </xf>
    <xf numFmtId="0" fontId="5" fillId="0" borderId="29" xfId="34" applyFont="1" applyFill="1" applyBorder="1" applyAlignment="1">
      <alignment horizontal="center" vertical="center" wrapText="1"/>
    </xf>
    <xf numFmtId="3" fontId="5" fillId="0" borderId="15" xfId="34" applyNumberFormat="1" applyFont="1" applyFill="1" applyBorder="1" applyAlignment="1">
      <alignment vertical="center" wrapText="1"/>
    </xf>
    <xf numFmtId="3" fontId="65" fillId="0" borderId="15" xfId="34" applyNumberFormat="1" applyFont="1" applyFill="1" applyBorder="1" applyAlignment="1">
      <alignment vertical="center" wrapText="1"/>
    </xf>
    <xf numFmtId="0" fontId="43" fillId="0" borderId="0" xfId="34" applyFont="1" applyFill="1" applyAlignment="1">
      <alignment vertical="top"/>
    </xf>
    <xf numFmtId="0" fontId="91" fillId="0" borderId="15" xfId="9" applyFont="1" applyFill="1" applyBorder="1" applyAlignment="1">
      <alignment horizontal="center" vertical="center" wrapText="1"/>
    </xf>
    <xf numFmtId="0" fontId="91" fillId="0" borderId="31" xfId="9" applyFont="1" applyFill="1" applyBorder="1" applyAlignment="1">
      <alignment horizontal="center" vertical="center" wrapText="1"/>
    </xf>
    <xf numFmtId="0" fontId="62" fillId="0" borderId="24" xfId="34" applyFont="1" applyFill="1" applyBorder="1" applyAlignment="1">
      <alignment horizontal="center"/>
    </xf>
    <xf numFmtId="0" fontId="62" fillId="0" borderId="23" xfId="34" applyFont="1" applyFill="1" applyBorder="1" applyAlignment="1">
      <alignment horizontal="center"/>
    </xf>
    <xf numFmtId="0" fontId="62" fillId="0" borderId="23" xfId="34" applyFont="1" applyFill="1" applyBorder="1" applyAlignment="1">
      <alignment horizontal="center" wrapText="1"/>
    </xf>
    <xf numFmtId="0" fontId="62" fillId="0" borderId="23" xfId="34" applyFont="1" applyFill="1" applyBorder="1" applyAlignment="1">
      <alignment horizontal="left" wrapText="1"/>
    </xf>
    <xf numFmtId="3" fontId="64" fillId="0" borderId="15" xfId="34" applyNumberFormat="1" applyFont="1" applyFill="1" applyBorder="1" applyAlignment="1">
      <alignment vertical="center"/>
    </xf>
    <xf numFmtId="3" fontId="25" fillId="0" borderId="15" xfId="34" applyNumberFormat="1" applyFont="1" applyFill="1" applyBorder="1" applyAlignment="1">
      <alignment vertical="center"/>
    </xf>
    <xf numFmtId="49" fontId="24" fillId="0" borderId="29" xfId="34" applyNumberFormat="1" applyFont="1" applyFill="1" applyBorder="1" applyAlignment="1">
      <alignment horizontal="center" vertical="center"/>
    </xf>
    <xf numFmtId="3" fontId="24" fillId="0" borderId="15" xfId="34" applyNumberFormat="1" applyFont="1" applyFill="1" applyBorder="1" applyAlignment="1">
      <alignment vertical="center" wrapText="1"/>
    </xf>
    <xf numFmtId="3" fontId="69" fillId="0" borderId="15" xfId="34" applyNumberFormat="1" applyFont="1" applyFill="1" applyBorder="1" applyAlignment="1">
      <alignment vertical="center" wrapText="1"/>
    </xf>
    <xf numFmtId="0" fontId="70" fillId="0" borderId="0" xfId="34" applyFont="1" applyFill="1" applyAlignment="1">
      <alignment vertical="center"/>
    </xf>
    <xf numFmtId="0" fontId="92" fillId="0" borderId="15" xfId="9" applyFont="1" applyFill="1" applyBorder="1" applyAlignment="1">
      <alignment horizontal="center" vertical="center"/>
    </xf>
    <xf numFmtId="0" fontId="92" fillId="0" borderId="31" xfId="9" applyFont="1" applyFill="1" applyBorder="1" applyAlignment="1">
      <alignment horizontal="center" vertical="center"/>
    </xf>
    <xf numFmtId="49" fontId="71" fillId="0" borderId="28" xfId="34" applyNumberFormat="1" applyFont="1" applyFill="1" applyBorder="1" applyAlignment="1">
      <alignment horizontal="left" vertical="center"/>
    </xf>
    <xf numFmtId="49" fontId="71" fillId="0" borderId="18" xfId="34" applyNumberFormat="1" applyFont="1" applyFill="1" applyBorder="1" applyAlignment="1">
      <alignment horizontal="left" vertical="center"/>
    </xf>
    <xf numFmtId="49" fontId="5" fillId="0" borderId="18" xfId="34" applyNumberFormat="1" applyFont="1" applyFill="1" applyBorder="1" applyAlignment="1">
      <alignment horizontal="center" vertical="center"/>
    </xf>
    <xf numFmtId="0" fontId="56" fillId="0" borderId="18" xfId="34" applyFont="1" applyFill="1" applyBorder="1" applyAlignment="1">
      <alignment vertical="center" wrapText="1"/>
    </xf>
    <xf numFmtId="3" fontId="65" fillId="0" borderId="18" xfId="34" applyNumberFormat="1" applyFont="1" applyFill="1" applyBorder="1" applyAlignment="1">
      <alignment vertical="center" wrapText="1"/>
    </xf>
    <xf numFmtId="3" fontId="65" fillId="0" borderId="27" xfId="34" applyNumberFormat="1" applyFont="1" applyFill="1" applyBorder="1" applyAlignment="1">
      <alignment vertical="center" wrapText="1"/>
    </xf>
    <xf numFmtId="0" fontId="43" fillId="0" borderId="0" xfId="34" applyFont="1" applyFill="1" applyAlignment="1">
      <alignment vertical="center"/>
    </xf>
    <xf numFmtId="0" fontId="88" fillId="0" borderId="29" xfId="9" applyFont="1" applyFill="1" applyBorder="1" applyAlignment="1">
      <alignment horizontal="center" vertical="center"/>
    </xf>
    <xf numFmtId="3" fontId="8" fillId="0" borderId="15" xfId="34" applyNumberFormat="1" applyFont="1" applyFill="1" applyBorder="1" applyAlignment="1">
      <alignment vertical="center" wrapText="1"/>
    </xf>
    <xf numFmtId="3" fontId="72" fillId="0" borderId="15" xfId="34" applyNumberFormat="1" applyFont="1" applyFill="1" applyBorder="1" applyAlignment="1">
      <alignment vertical="center" wrapText="1"/>
    </xf>
    <xf numFmtId="0" fontId="88" fillId="0" borderId="15" xfId="9" applyFont="1" applyFill="1" applyBorder="1" applyAlignment="1">
      <alignment horizontal="center" vertical="center"/>
    </xf>
    <xf numFmtId="0" fontId="88" fillId="0" borderId="31" xfId="9" applyFont="1" applyFill="1" applyBorder="1" applyAlignment="1">
      <alignment horizontal="center" vertical="center"/>
    </xf>
    <xf numFmtId="3" fontId="5" fillId="0" borderId="22" xfId="34" applyNumberFormat="1" applyFont="1" applyFill="1" applyBorder="1" applyAlignment="1">
      <alignment vertical="center" wrapText="1"/>
    </xf>
    <xf numFmtId="3" fontId="65" fillId="0" borderId="22" xfId="34" applyNumberFormat="1" applyFont="1" applyFill="1" applyBorder="1" applyAlignment="1">
      <alignment vertical="center" wrapText="1"/>
    </xf>
    <xf numFmtId="0" fontId="87" fillId="0" borderId="15" xfId="9" applyFont="1" applyFill="1" applyBorder="1" applyAlignment="1">
      <alignment horizontal="center" vertical="center" wrapText="1"/>
    </xf>
    <xf numFmtId="0" fontId="87" fillId="0" borderId="30" xfId="9" applyFont="1" applyFill="1" applyBorder="1" applyAlignment="1">
      <alignment horizontal="center" vertical="center" wrapText="1"/>
    </xf>
    <xf numFmtId="0" fontId="13" fillId="0" borderId="0" xfId="34" applyFont="1" applyFill="1" applyAlignment="1">
      <alignment vertical="top"/>
    </xf>
    <xf numFmtId="0" fontId="65" fillId="0" borderId="25" xfId="34" applyFont="1" applyFill="1" applyBorder="1" applyAlignment="1">
      <alignment horizontal="left" vertical="top" wrapText="1"/>
    </xf>
    <xf numFmtId="0" fontId="5" fillId="0" borderId="15" xfId="34" applyFont="1" applyFill="1" applyBorder="1" applyAlignment="1">
      <alignment horizontal="center" vertical="center" wrapText="1"/>
    </xf>
    <xf numFmtId="0" fontId="8" fillId="0" borderId="29" xfId="34" applyFont="1" applyFill="1" applyBorder="1" applyAlignment="1">
      <alignment horizontal="center" vertical="center" wrapText="1"/>
    </xf>
    <xf numFmtId="0" fontId="8" fillId="0" borderId="15" xfId="34" applyFont="1" applyFill="1" applyBorder="1" applyAlignment="1">
      <alignment horizontal="center" vertical="center" wrapText="1"/>
    </xf>
    <xf numFmtId="0" fontId="8" fillId="0" borderId="31" xfId="34" applyFont="1" applyFill="1" applyBorder="1" applyAlignment="1">
      <alignment horizontal="center" vertical="center" wrapText="1"/>
    </xf>
    <xf numFmtId="0" fontId="87" fillId="0" borderId="31" xfId="9" applyFont="1" applyFill="1" applyBorder="1" applyAlignment="1">
      <alignment horizontal="center" vertical="center" wrapText="1"/>
    </xf>
    <xf numFmtId="0" fontId="5" fillId="0" borderId="20" xfId="34" applyFont="1" applyFill="1" applyBorder="1" applyAlignment="1">
      <alignment horizontal="center" vertical="center" wrapText="1"/>
    </xf>
    <xf numFmtId="3" fontId="5" fillId="0" borderId="20" xfId="34" applyNumberFormat="1" applyFont="1" applyFill="1" applyBorder="1" applyAlignment="1">
      <alignment vertical="center" wrapText="1"/>
    </xf>
    <xf numFmtId="3" fontId="65" fillId="0" borderId="20" xfId="34" applyNumberFormat="1" applyFont="1" applyFill="1" applyBorder="1" applyAlignment="1">
      <alignment vertical="center" wrapText="1"/>
    </xf>
    <xf numFmtId="0" fontId="9" fillId="0" borderId="15" xfId="34" applyFont="1" applyFill="1" applyBorder="1" applyAlignment="1">
      <alignment horizontal="center" vertical="center" wrapText="1"/>
    </xf>
    <xf numFmtId="3" fontId="9" fillId="0" borderId="22" xfId="34" applyNumberFormat="1" applyFont="1" applyFill="1" applyBorder="1" applyAlignment="1">
      <alignment vertical="center" wrapText="1"/>
    </xf>
    <xf numFmtId="3" fontId="73" fillId="0" borderId="22" xfId="34" applyNumberFormat="1" applyFont="1" applyFill="1" applyBorder="1" applyAlignment="1">
      <alignment vertical="center" wrapText="1"/>
    </xf>
    <xf numFmtId="0" fontId="17" fillId="0" borderId="0" xfId="34" applyFont="1" applyFill="1" applyAlignment="1">
      <alignment vertical="center"/>
    </xf>
    <xf numFmtId="0" fontId="93" fillId="0" borderId="15" xfId="9" applyFont="1" applyFill="1" applyBorder="1" applyAlignment="1">
      <alignment horizontal="center" vertical="center" wrapText="1"/>
    </xf>
    <xf numFmtId="3" fontId="9" fillId="0" borderId="15" xfId="34" applyNumberFormat="1" applyFont="1" applyFill="1" applyBorder="1" applyAlignment="1">
      <alignment vertical="center" wrapText="1"/>
    </xf>
    <xf numFmtId="3" fontId="73" fillId="0" borderId="15" xfId="34" applyNumberFormat="1" applyFont="1" applyFill="1" applyBorder="1" applyAlignment="1">
      <alignment vertical="center" wrapText="1"/>
    </xf>
    <xf numFmtId="0" fontId="64" fillId="0" borderId="15" xfId="34" applyFont="1" applyFill="1" applyBorder="1" applyAlignment="1">
      <alignment horizontal="center" vertical="center"/>
    </xf>
    <xf numFmtId="0" fontId="64" fillId="0" borderId="31" xfId="34" applyFont="1" applyFill="1" applyBorder="1" applyAlignment="1">
      <alignment horizontal="center" vertical="center"/>
    </xf>
    <xf numFmtId="49" fontId="74" fillId="0" borderId="22" xfId="34" applyNumberFormat="1" applyFont="1" applyFill="1" applyBorder="1" applyAlignment="1">
      <alignment horizontal="center" vertical="center"/>
    </xf>
    <xf numFmtId="3" fontId="75" fillId="0" borderId="15" xfId="34" applyNumberFormat="1" applyFont="1" applyFill="1" applyBorder="1" applyAlignment="1">
      <alignment vertical="center" wrapText="1"/>
    </xf>
    <xf numFmtId="3" fontId="76" fillId="0" borderId="15" xfId="34" applyNumberFormat="1" applyFont="1" applyFill="1" applyBorder="1" applyAlignment="1">
      <alignment vertical="center" wrapText="1"/>
    </xf>
    <xf numFmtId="0" fontId="77" fillId="0" borderId="0" xfId="34" applyFont="1" applyFill="1" applyAlignment="1">
      <alignment vertical="center"/>
    </xf>
    <xf numFmtId="49" fontId="74" fillId="0" borderId="15" xfId="34" applyNumberFormat="1" applyFont="1" applyFill="1" applyBorder="1" applyAlignment="1">
      <alignment horizontal="center" vertical="center"/>
    </xf>
    <xf numFmtId="49" fontId="71" fillId="0" borderId="24" xfId="34" applyNumberFormat="1" applyFont="1" applyFill="1" applyBorder="1" applyAlignment="1">
      <alignment horizontal="left" vertical="center"/>
    </xf>
    <xf numFmtId="49" fontId="71" fillId="0" borderId="23" xfId="34" applyNumberFormat="1" applyFont="1" applyFill="1" applyBorder="1" applyAlignment="1">
      <alignment horizontal="left" vertical="center"/>
    </xf>
    <xf numFmtId="49" fontId="71" fillId="0" borderId="18" xfId="34" applyNumberFormat="1" applyFont="1" applyFill="1" applyBorder="1" applyAlignment="1">
      <alignment horizontal="center" vertical="center"/>
    </xf>
    <xf numFmtId="0" fontId="65" fillId="0" borderId="22" xfId="34" applyFont="1" applyFill="1" applyBorder="1" applyAlignment="1">
      <alignment horizontal="center" vertical="top" wrapText="1"/>
    </xf>
    <xf numFmtId="0" fontId="65" fillId="0" borderId="16" xfId="34" applyFont="1" applyFill="1" applyBorder="1" applyAlignment="1">
      <alignment horizontal="center" vertical="top" wrapText="1"/>
    </xf>
    <xf numFmtId="0" fontId="65" fillId="0" borderId="20" xfId="34" applyFont="1" applyFill="1" applyBorder="1" applyAlignment="1">
      <alignment horizontal="center" vertical="top" wrapText="1"/>
    </xf>
    <xf numFmtId="49" fontId="75" fillId="0" borderId="29" xfId="34" applyNumberFormat="1" applyFont="1" applyFill="1" applyBorder="1" applyAlignment="1">
      <alignment horizontal="center" vertical="center" wrapText="1"/>
    </xf>
    <xf numFmtId="49" fontId="75" fillId="0" borderId="15" xfId="34" applyNumberFormat="1" applyFont="1" applyFill="1" applyBorder="1" applyAlignment="1">
      <alignment horizontal="center" vertical="center" wrapText="1"/>
    </xf>
    <xf numFmtId="49" fontId="75" fillId="0" borderId="31" xfId="34" applyNumberFormat="1" applyFont="1" applyFill="1" applyBorder="1" applyAlignment="1">
      <alignment horizontal="center" vertical="center" wrapText="1"/>
    </xf>
    <xf numFmtId="0" fontId="65" fillId="0" borderId="22" xfId="34" applyFont="1" applyFill="1" applyBorder="1" applyAlignment="1">
      <alignment horizontal="center" vertical="center" wrapText="1"/>
    </xf>
    <xf numFmtId="0" fontId="5" fillId="0" borderId="22" xfId="34" applyFont="1" applyFill="1" applyBorder="1" applyAlignment="1">
      <alignment horizontal="center" vertical="center" wrapText="1"/>
    </xf>
    <xf numFmtId="0" fontId="65" fillId="0" borderId="16" xfId="34" applyFont="1" applyFill="1" applyBorder="1" applyAlignment="1">
      <alignment horizontal="center" vertical="center" wrapText="1"/>
    </xf>
    <xf numFmtId="0" fontId="65" fillId="0" borderId="20" xfId="34" applyFont="1" applyFill="1" applyBorder="1" applyAlignment="1">
      <alignment horizontal="center" vertical="center" wrapText="1"/>
    </xf>
    <xf numFmtId="3" fontId="5" fillId="0" borderId="16" xfId="34" applyNumberFormat="1" applyFont="1" applyFill="1" applyBorder="1" applyAlignment="1">
      <alignment vertical="center" wrapText="1"/>
    </xf>
    <xf numFmtId="3" fontId="65" fillId="0" borderId="16" xfId="34" applyNumberFormat="1" applyFont="1" applyFill="1" applyBorder="1" applyAlignment="1">
      <alignment vertical="center" wrapText="1"/>
    </xf>
    <xf numFmtId="0" fontId="65" fillId="0" borderId="24" xfId="34" applyFont="1" applyFill="1" applyBorder="1" applyAlignment="1">
      <alignment horizontal="center" vertical="top" wrapText="1"/>
    </xf>
    <xf numFmtId="0" fontId="65" fillId="0" borderId="29" xfId="34" applyFont="1" applyFill="1" applyBorder="1" applyAlignment="1">
      <alignment horizontal="center" vertical="center" wrapText="1"/>
    </xf>
    <xf numFmtId="0" fontId="86" fillId="0" borderId="25" xfId="9" applyFill="1" applyBorder="1" applyAlignment="1">
      <alignment horizontal="left" vertical="top" wrapText="1"/>
    </xf>
    <xf numFmtId="0" fontId="86" fillId="0" borderId="26" xfId="9" applyFill="1" applyBorder="1" applyAlignment="1">
      <alignment horizontal="left" vertical="top" wrapText="1"/>
    </xf>
    <xf numFmtId="0" fontId="65" fillId="0" borderId="29" xfId="34" applyFont="1" applyFill="1" applyBorder="1" applyAlignment="1">
      <alignment horizontal="center" vertical="top" wrapText="1"/>
    </xf>
    <xf numFmtId="0" fontId="65" fillId="0" borderId="30" xfId="34" applyFont="1" applyFill="1" applyBorder="1" applyAlignment="1">
      <alignment horizontal="center" vertical="top" wrapText="1"/>
    </xf>
    <xf numFmtId="0" fontId="65" fillId="0" borderId="26" xfId="34" applyFont="1" applyFill="1" applyBorder="1" applyAlignment="1">
      <alignment horizontal="center" vertical="center" wrapText="1"/>
    </xf>
    <xf numFmtId="0" fontId="65" fillId="0" borderId="28" xfId="34" applyFont="1" applyFill="1" applyBorder="1" applyAlignment="1">
      <alignment horizontal="center" vertical="center" wrapText="1"/>
    </xf>
    <xf numFmtId="49" fontId="75" fillId="0" borderId="27" xfId="34" applyNumberFormat="1" applyFont="1" applyFill="1" applyBorder="1" applyAlignment="1">
      <alignment horizontal="center" vertical="center"/>
    </xf>
    <xf numFmtId="0" fontId="5" fillId="0" borderId="27" xfId="34" applyFont="1" applyFill="1" applyBorder="1" applyAlignment="1">
      <alignment horizontal="center" vertical="center" wrapText="1"/>
    </xf>
    <xf numFmtId="49" fontId="24" fillId="0" borderId="27" xfId="34" applyNumberFormat="1" applyFont="1" applyFill="1" applyBorder="1" applyAlignment="1">
      <alignment horizontal="center" vertical="center"/>
    </xf>
    <xf numFmtId="3" fontId="5" fillId="0" borderId="15" xfId="34" applyNumberFormat="1" applyFont="1" applyFill="1" applyBorder="1" applyAlignment="1">
      <alignment horizontal="center" vertical="center" wrapText="1"/>
    </xf>
    <xf numFmtId="0" fontId="5" fillId="0" borderId="31" xfId="34" applyFont="1" applyFill="1" applyBorder="1" applyAlignment="1">
      <alignment horizontal="center" vertical="center" wrapText="1"/>
    </xf>
    <xf numFmtId="0" fontId="67" fillId="0" borderId="27" xfId="34" applyFont="1" applyFill="1" applyBorder="1" applyAlignment="1">
      <alignment horizontal="center" vertical="center" wrapText="1"/>
    </xf>
    <xf numFmtId="3" fontId="5" fillId="0" borderId="22" xfId="34" applyNumberFormat="1" applyFont="1" applyFill="1" applyBorder="1" applyAlignment="1">
      <alignment horizontal="center" vertical="center" wrapText="1"/>
    </xf>
    <xf numFmtId="0" fontId="65" fillId="0" borderId="31" xfId="34" applyFont="1" applyFill="1" applyBorder="1" applyAlignment="1">
      <alignment horizontal="center" vertical="center" wrapText="1"/>
    </xf>
    <xf numFmtId="0" fontId="65" fillId="0" borderId="27" xfId="34" applyFont="1" applyFill="1" applyBorder="1" applyAlignment="1">
      <alignment horizontal="center" vertical="center" wrapText="1"/>
    </xf>
    <xf numFmtId="49" fontId="5" fillId="0" borderId="23" xfId="34" applyNumberFormat="1" applyFont="1" applyFill="1" applyBorder="1" applyAlignment="1">
      <alignment horizontal="center" vertical="center"/>
    </xf>
    <xf numFmtId="0" fontId="56" fillId="0" borderId="23" xfId="34" applyFont="1" applyFill="1" applyBorder="1" applyAlignment="1">
      <alignment vertical="center" wrapText="1"/>
    </xf>
    <xf numFmtId="3" fontId="65" fillId="0" borderId="23" xfId="34" applyNumberFormat="1" applyFont="1" applyFill="1" applyBorder="1" applyAlignment="1">
      <alignment vertical="center" wrapText="1"/>
    </xf>
    <xf numFmtId="3" fontId="65" fillId="0" borderId="29" xfId="34" applyNumberFormat="1" applyFont="1" applyFill="1" applyBorder="1" applyAlignment="1">
      <alignment vertical="center" wrapText="1"/>
    </xf>
    <xf numFmtId="0" fontId="64" fillId="0" borderId="28" xfId="34" applyFont="1" applyFill="1" applyBorder="1" applyAlignment="1">
      <alignment horizontal="center" vertical="center" wrapText="1"/>
    </xf>
    <xf numFmtId="0" fontId="25" fillId="0" borderId="0" xfId="34" applyFont="1" applyFill="1" applyAlignment="1">
      <alignment horizontal="center" vertical="center"/>
    </xf>
    <xf numFmtId="0" fontId="89" fillId="0" borderId="28" xfId="9" applyFont="1" applyFill="1" applyBorder="1" applyAlignment="1">
      <alignment horizontal="center" vertical="center"/>
    </xf>
    <xf numFmtId="0" fontId="13" fillId="0" borderId="0" xfId="34" applyFont="1" applyFill="1" applyBorder="1" applyAlignment="1">
      <alignment horizontal="center" vertical="center"/>
    </xf>
    <xf numFmtId="0" fontId="13" fillId="0" borderId="0" xfId="34" applyFont="1" applyFill="1" applyBorder="1" applyAlignment="1">
      <alignment horizontal="center" vertical="center" wrapText="1"/>
    </xf>
    <xf numFmtId="0" fontId="13" fillId="0" borderId="0" xfId="34" applyFont="1" applyFill="1" applyBorder="1" applyAlignment="1">
      <alignment vertical="center" wrapText="1"/>
    </xf>
    <xf numFmtId="0" fontId="6" fillId="0" borderId="0" xfId="34" applyFont="1" applyFill="1" applyBorder="1" applyAlignment="1">
      <alignment horizontal="center" vertical="center" wrapText="1"/>
    </xf>
    <xf numFmtId="0" fontId="50" fillId="0" borderId="0" xfId="34" applyFont="1" applyFill="1" applyBorder="1" applyAlignment="1">
      <alignment vertical="center" wrapText="1"/>
    </xf>
    <xf numFmtId="3" fontId="13" fillId="0" borderId="0" xfId="34" applyNumberFormat="1" applyFont="1" applyFill="1" applyBorder="1" applyAlignment="1">
      <alignment vertical="center" wrapText="1"/>
    </xf>
    <xf numFmtId="0" fontId="78" fillId="0" borderId="0" xfId="34" applyFont="1" applyFill="1" applyAlignment="1">
      <alignment horizontal="left"/>
    </xf>
    <xf numFmtId="0" fontId="78" fillId="0" borderId="0" xfId="34" applyFont="1" applyFill="1" applyAlignment="1">
      <alignment horizontal="center"/>
    </xf>
    <xf numFmtId="0" fontId="79" fillId="0" borderId="0" xfId="34" applyFont="1" applyFill="1" applyAlignment="1">
      <alignment wrapText="1"/>
    </xf>
    <xf numFmtId="0" fontId="13" fillId="0" borderId="0" xfId="34" applyFont="1" applyFill="1" applyAlignment="1">
      <alignment wrapText="1"/>
    </xf>
    <xf numFmtId="0" fontId="6" fillId="0" borderId="0" xfId="34" applyFont="1" applyFill="1" applyAlignment="1">
      <alignment horizontal="center" wrapText="1"/>
    </xf>
    <xf numFmtId="0" fontId="50" fillId="0" borderId="0" xfId="34" applyFont="1" applyFill="1" applyAlignment="1">
      <alignment wrapText="1"/>
    </xf>
    <xf numFmtId="3" fontId="13" fillId="0" borderId="0" xfId="34" applyNumberFormat="1" applyFont="1" applyFill="1" applyAlignment="1">
      <alignment wrapText="1"/>
    </xf>
    <xf numFmtId="0" fontId="79" fillId="0" borderId="0" xfId="34" applyFont="1" applyFill="1" applyAlignment="1">
      <alignment horizontal="left" vertical="center"/>
    </xf>
    <xf numFmtId="0" fontId="79" fillId="0" borderId="0" xfId="34" applyFont="1" applyFill="1" applyAlignment="1">
      <alignment horizontal="center" vertical="center"/>
    </xf>
    <xf numFmtId="0" fontId="79" fillId="0" borderId="0" xfId="34" applyFont="1" applyFill="1" applyAlignment="1">
      <alignment vertical="center" wrapText="1"/>
    </xf>
    <xf numFmtId="0" fontId="13" fillId="0" borderId="0" xfId="34" applyFont="1" applyFill="1" applyAlignment="1">
      <alignment horizontal="center"/>
    </xf>
    <xf numFmtId="0" fontId="13" fillId="0" borderId="0" xfId="34" applyFont="1" applyFill="1" applyAlignment="1">
      <alignment horizontal="left"/>
    </xf>
    <xf numFmtId="0" fontId="13" fillId="0" borderId="0" xfId="34" applyFont="1" applyFill="1" applyAlignment="1">
      <alignment horizontal="center" wrapText="1"/>
    </xf>
    <xf numFmtId="0" fontId="13" fillId="0" borderId="0" xfId="34" applyFont="1" applyFill="1"/>
    <xf numFmtId="0" fontId="13" fillId="0" borderId="0" xfId="34" applyFont="1" applyFill="1" applyAlignment="1" applyProtection="1">
      <alignment horizontal="center"/>
    </xf>
    <xf numFmtId="3" fontId="13" fillId="0" borderId="0" xfId="34" applyNumberFormat="1" applyFont="1" applyFill="1" applyAlignment="1" applyProtection="1">
      <alignment horizontal="left" wrapText="1"/>
    </xf>
    <xf numFmtId="0" fontId="13" fillId="0" borderId="0" xfId="34" applyFont="1" applyFill="1" applyAlignment="1" applyProtection="1">
      <alignment wrapText="1"/>
    </xf>
    <xf numFmtId="0" fontId="13" fillId="0" borderId="0" xfId="34" applyFont="1" applyFill="1" applyProtection="1"/>
    <xf numFmtId="3" fontId="13" fillId="0" borderId="0" xfId="34" applyNumberFormat="1" applyFont="1" applyFill="1" applyAlignment="1">
      <alignment horizontal="left" wrapText="1"/>
    </xf>
    <xf numFmtId="3" fontId="13" fillId="0" borderId="0" xfId="34" applyNumberFormat="1" applyFont="1" applyFill="1" applyAlignment="1">
      <alignment horizontal="center" wrapText="1"/>
    </xf>
    <xf numFmtId="0" fontId="16" fillId="0" borderId="22" xfId="34" applyFont="1" applyFill="1" applyBorder="1" applyAlignment="1">
      <alignment horizontal="center" vertical="top" wrapText="1"/>
    </xf>
    <xf numFmtId="0" fontId="16" fillId="0" borderId="0" xfId="34" applyFont="1" applyFill="1" applyAlignment="1">
      <alignment vertical="center" wrapText="1"/>
    </xf>
    <xf numFmtId="0" fontId="62" fillId="0" borderId="15" xfId="34" applyFont="1" applyFill="1" applyBorder="1" applyAlignment="1">
      <alignment horizontal="center"/>
    </xf>
    <xf numFmtId="0" fontId="62" fillId="0" borderId="15" xfId="34" applyFont="1" applyFill="1" applyBorder="1" applyAlignment="1">
      <alignment horizontal="center" wrapText="1"/>
    </xf>
    <xf numFmtId="0" fontId="62" fillId="0" borderId="15" xfId="34" applyFont="1" applyFill="1" applyBorder="1" applyAlignment="1">
      <alignment horizontal="center" vertical="center" wrapText="1"/>
    </xf>
    <xf numFmtId="3" fontId="62" fillId="0" borderId="15" xfId="34" applyNumberFormat="1" applyFont="1" applyFill="1" applyBorder="1" applyAlignment="1">
      <alignment horizontal="center" wrapText="1"/>
    </xf>
    <xf numFmtId="0" fontId="62" fillId="0" borderId="0" xfId="34" applyFont="1" applyFill="1" applyAlignment="1">
      <alignment horizontal="center" wrapText="1"/>
    </xf>
    <xf numFmtId="0" fontId="15" fillId="0" borderId="29" xfId="34" applyFont="1" applyFill="1" applyBorder="1" applyAlignment="1">
      <alignment horizontal="center" vertical="center" wrapText="1"/>
    </xf>
    <xf numFmtId="3" fontId="15" fillId="0" borderId="15" xfId="34" applyNumberFormat="1" applyFont="1" applyFill="1" applyBorder="1" applyAlignment="1">
      <alignment vertical="center" wrapText="1"/>
    </xf>
    <xf numFmtId="0" fontId="15" fillId="0" borderId="0" xfId="34" applyFont="1" applyFill="1" applyAlignment="1">
      <alignment horizontal="center" vertical="center"/>
    </xf>
    <xf numFmtId="0" fontId="15" fillId="0" borderId="15" xfId="34" applyFont="1" applyFill="1" applyBorder="1" applyAlignment="1">
      <alignment horizontal="center" vertical="center" wrapText="1"/>
    </xf>
    <xf numFmtId="0" fontId="15" fillId="0" borderId="31" xfId="34" applyFont="1" applyFill="1" applyBorder="1" applyAlignment="1">
      <alignment horizontal="center" vertical="center" wrapText="1"/>
    </xf>
    <xf numFmtId="49" fontId="13" fillId="0" borderId="22" xfId="34" applyNumberFormat="1" applyFont="1" applyFill="1" applyBorder="1" applyAlignment="1">
      <alignment horizontal="center" vertical="top"/>
    </xf>
    <xf numFmtId="0" fontId="13" fillId="0" borderId="22" xfId="34" applyFont="1" applyFill="1" applyBorder="1" applyAlignment="1">
      <alignment horizontal="center" vertical="top" wrapText="1"/>
    </xf>
    <xf numFmtId="0" fontId="13" fillId="0" borderId="15" xfId="34" applyFont="1" applyFill="1" applyBorder="1" applyAlignment="1">
      <alignment horizontal="center" vertical="center" wrapText="1"/>
    </xf>
    <xf numFmtId="3" fontId="13" fillId="0" borderId="15" xfId="34" applyNumberFormat="1" applyFont="1" applyFill="1" applyBorder="1" applyAlignment="1">
      <alignment vertical="center"/>
    </xf>
    <xf numFmtId="3" fontId="22" fillId="0" borderId="15" xfId="34" applyNumberFormat="1" applyFont="1" applyFill="1" applyBorder="1" applyAlignment="1">
      <alignment vertical="center" wrapText="1"/>
    </xf>
    <xf numFmtId="0" fontId="13" fillId="0" borderId="0" xfId="34" applyFont="1" applyFill="1" applyAlignment="1">
      <alignment vertical="top" wrapText="1"/>
    </xf>
    <xf numFmtId="49" fontId="13" fillId="0" borderId="16" xfId="34" applyNumberFormat="1" applyFont="1" applyFill="1" applyBorder="1" applyAlignment="1">
      <alignment horizontal="center" vertical="top"/>
    </xf>
    <xf numFmtId="49" fontId="13" fillId="0" borderId="20" xfId="34" applyNumberFormat="1" applyFont="1" applyFill="1" applyBorder="1" applyAlignment="1">
      <alignment horizontal="center" vertical="top"/>
    </xf>
    <xf numFmtId="0" fontId="94" fillId="0" borderId="15" xfId="9" applyFont="1" applyFill="1" applyBorder="1" applyAlignment="1">
      <alignment horizontal="center" vertical="center" wrapText="1"/>
    </xf>
    <xf numFmtId="0" fontId="6" fillId="0" borderId="15" xfId="34" applyFont="1" applyFill="1" applyBorder="1" applyAlignment="1">
      <alignment horizontal="center" vertical="center" wrapText="1"/>
    </xf>
    <xf numFmtId="3" fontId="13" fillId="0" borderId="15" xfId="34" applyNumberFormat="1" applyFont="1" applyFill="1" applyBorder="1" applyAlignment="1">
      <alignment horizontal="right" vertical="top"/>
    </xf>
    <xf numFmtId="3" fontId="22" fillId="0" borderId="15" xfId="34" applyNumberFormat="1" applyFont="1" applyFill="1" applyBorder="1" applyAlignment="1">
      <alignment vertical="top" wrapText="1"/>
    </xf>
    <xf numFmtId="0" fontId="79" fillId="0" borderId="0" xfId="34" applyFont="1" applyFill="1" applyAlignment="1">
      <alignment vertical="center"/>
    </xf>
    <xf numFmtId="0" fontId="13" fillId="0" borderId="15" xfId="34" applyFont="1" applyFill="1" applyBorder="1" applyAlignment="1">
      <alignment horizontal="center" vertical="top" wrapText="1"/>
    </xf>
    <xf numFmtId="0" fontId="13" fillId="0" borderId="0" xfId="34" applyFont="1" applyFill="1" applyAlignment="1">
      <alignment horizontal="left" wrapText="1"/>
    </xf>
    <xf numFmtId="0" fontId="13" fillId="0" borderId="0" xfId="34" applyFont="1" applyFill="1" applyAlignment="1">
      <alignment horizontal="left" vertical="center" wrapText="1"/>
    </xf>
    <xf numFmtId="0" fontId="79" fillId="0" borderId="0" xfId="34" applyFont="1" applyFill="1" applyAlignment="1">
      <alignment horizontal="left" wrapText="1"/>
    </xf>
    <xf numFmtId="0" fontId="79" fillId="0" borderId="0" xfId="34" applyFont="1" applyFill="1" applyAlignment="1">
      <alignment horizontal="left"/>
    </xf>
    <xf numFmtId="0" fontId="79" fillId="0" borderId="0" xfId="34" applyFont="1" applyFill="1" applyAlignment="1">
      <alignment horizontal="center" vertical="center" wrapText="1"/>
    </xf>
    <xf numFmtId="0" fontId="79" fillId="0" borderId="0" xfId="34" applyFont="1" applyFill="1"/>
    <xf numFmtId="0" fontId="43" fillId="0" borderId="0" xfId="34" applyFont="1" applyFill="1"/>
    <xf numFmtId="0" fontId="16" fillId="0" borderId="0" xfId="34" applyFont="1" applyFill="1"/>
    <xf numFmtId="3" fontId="13" fillId="0" borderId="0" xfId="34" applyNumberFormat="1" applyFont="1" applyFill="1" applyAlignment="1" applyProtection="1"/>
    <xf numFmtId="3" fontId="15" fillId="0" borderId="15" xfId="34" applyNumberFormat="1" applyFont="1" applyFill="1" applyBorder="1" applyAlignment="1">
      <alignment horizontal="right" vertical="center" wrapText="1"/>
    </xf>
    <xf numFmtId="0" fontId="6" fillId="0" borderId="22" xfId="34" applyFont="1" applyFill="1" applyBorder="1" applyAlignment="1">
      <alignment horizontal="center" vertical="center" wrapText="1"/>
    </xf>
    <xf numFmtId="3" fontId="22" fillId="0" borderId="15" xfId="34" applyNumberFormat="1" applyFont="1" applyFill="1" applyBorder="1" applyAlignment="1">
      <alignment horizontal="right" vertical="center"/>
    </xf>
    <xf numFmtId="9" fontId="6" fillId="0" borderId="15" xfId="38" applyFont="1" applyFill="1" applyBorder="1" applyAlignment="1">
      <alignment horizontal="center" vertical="center" wrapText="1"/>
    </xf>
    <xf numFmtId="3" fontId="22" fillId="0" borderId="15" xfId="38" applyNumberFormat="1" applyFont="1" applyFill="1" applyBorder="1" applyAlignment="1">
      <alignment horizontal="right" vertical="center"/>
    </xf>
    <xf numFmtId="3" fontId="22" fillId="0" borderId="15" xfId="38" applyNumberFormat="1" applyFont="1" applyFill="1" applyBorder="1" applyAlignment="1">
      <alignment vertical="center" wrapText="1"/>
    </xf>
    <xf numFmtId="9" fontId="13" fillId="0" borderId="0" xfId="38" applyFont="1" applyFill="1" applyAlignment="1">
      <alignment vertical="top" wrapText="1"/>
    </xf>
    <xf numFmtId="9" fontId="13" fillId="0" borderId="0" xfId="38" applyFont="1" applyFill="1" applyAlignment="1">
      <alignment vertical="top"/>
    </xf>
    <xf numFmtId="9" fontId="6" fillId="0" borderId="15" xfId="38" applyFont="1" applyFill="1" applyBorder="1" applyAlignment="1" applyProtection="1">
      <alignment horizontal="center" vertical="center" wrapText="1"/>
    </xf>
    <xf numFmtId="3" fontId="6" fillId="0" borderId="15" xfId="38" applyNumberFormat="1" applyFont="1" applyFill="1" applyBorder="1" applyAlignment="1" applyProtection="1">
      <alignment horizontal="right" vertical="center"/>
    </xf>
    <xf numFmtId="3" fontId="6" fillId="0" borderId="15" xfId="38" applyNumberFormat="1" applyFont="1" applyFill="1" applyBorder="1" applyAlignment="1" applyProtection="1">
      <alignment vertical="center" wrapText="1"/>
    </xf>
    <xf numFmtId="9" fontId="13" fillId="0" borderId="0" xfId="38" applyFont="1" applyFill="1" applyAlignment="1" applyProtection="1">
      <alignment vertical="top" wrapText="1"/>
    </xf>
    <xf numFmtId="9" fontId="13" fillId="0" borderId="0" xfId="38" applyFont="1" applyFill="1" applyAlignment="1" applyProtection="1">
      <alignment vertical="top"/>
    </xf>
    <xf numFmtId="0" fontId="87" fillId="0" borderId="15" xfId="9" applyFont="1" applyFill="1" applyBorder="1" applyAlignment="1" applyProtection="1">
      <alignment horizontal="center" vertical="center" wrapText="1"/>
    </xf>
    <xf numFmtId="3" fontId="6" fillId="0" borderId="15" xfId="34" applyNumberFormat="1" applyFont="1" applyFill="1" applyBorder="1" applyAlignment="1" applyProtection="1">
      <alignment vertical="center" wrapText="1"/>
    </xf>
    <xf numFmtId="0" fontId="13" fillId="0" borderId="0" xfId="34" applyFont="1" applyFill="1" applyAlignment="1" applyProtection="1">
      <alignment vertical="top" wrapText="1"/>
    </xf>
    <xf numFmtId="0" fontId="13" fillId="0" borderId="0" xfId="34" applyFont="1" applyFill="1" applyAlignment="1" applyProtection="1">
      <alignment vertical="top"/>
    </xf>
    <xf numFmtId="0" fontId="6" fillId="0" borderId="15" xfId="34" applyFont="1" applyFill="1" applyBorder="1" applyAlignment="1" applyProtection="1">
      <alignment horizontal="center" vertical="center" wrapText="1"/>
    </xf>
    <xf numFmtId="3" fontId="6" fillId="0" borderId="15" xfId="34" applyNumberFormat="1" applyFont="1" applyFill="1" applyBorder="1" applyAlignment="1" applyProtection="1">
      <alignment horizontal="right" vertical="center"/>
    </xf>
    <xf numFmtId="0" fontId="22" fillId="0" borderId="15" xfId="34" applyFont="1" applyFill="1" applyBorder="1" applyAlignment="1" applyProtection="1">
      <alignment horizontal="center" vertical="top" wrapText="1"/>
    </xf>
    <xf numFmtId="3" fontId="22" fillId="0" borderId="15" xfId="34" applyNumberFormat="1" applyFont="1" applyFill="1" applyBorder="1" applyAlignment="1" applyProtection="1">
      <alignment horizontal="right" vertical="top"/>
    </xf>
    <xf numFmtId="3" fontId="22" fillId="0" borderId="15" xfId="34" applyNumberFormat="1" applyFont="1" applyFill="1" applyBorder="1" applyAlignment="1" applyProtection="1">
      <alignment vertical="top" wrapText="1"/>
    </xf>
    <xf numFmtId="3" fontId="13" fillId="0" borderId="0" xfId="34" applyNumberFormat="1" applyFont="1" applyFill="1" applyAlignment="1" applyProtection="1">
      <alignment vertical="top"/>
    </xf>
    <xf numFmtId="3" fontId="22" fillId="0" borderId="15" xfId="34" applyNumberFormat="1" applyFont="1" applyFill="1" applyBorder="1" applyAlignment="1" applyProtection="1">
      <alignment horizontal="right" vertical="center"/>
    </xf>
    <xf numFmtId="3" fontId="22" fillId="0" borderId="15" xfId="34" applyNumberFormat="1" applyFont="1" applyFill="1" applyBorder="1" applyAlignment="1" applyProtection="1">
      <alignment vertical="center" wrapText="1"/>
    </xf>
    <xf numFmtId="0" fontId="13" fillId="0" borderId="0" xfId="34" applyFont="1" applyFill="1" applyAlignment="1" applyProtection="1">
      <alignment vertical="center" wrapText="1"/>
    </xf>
    <xf numFmtId="0" fontId="13" fillId="0" borderId="0" xfId="34" applyFont="1" applyFill="1" applyAlignment="1" applyProtection="1">
      <alignment vertical="center"/>
    </xf>
    <xf numFmtId="0" fontId="87" fillId="0" borderId="22" xfId="9" applyFont="1" applyFill="1" applyBorder="1" applyAlignment="1">
      <alignment horizontal="center" vertical="center" wrapText="1"/>
    </xf>
    <xf numFmtId="3" fontId="22" fillId="0" borderId="22" xfId="34" applyNumberFormat="1" applyFont="1" applyFill="1" applyBorder="1" applyAlignment="1">
      <alignment horizontal="right" vertical="center"/>
    </xf>
    <xf numFmtId="3" fontId="13" fillId="0" borderId="0" xfId="34" applyNumberFormat="1" applyFont="1" applyFill="1" applyAlignment="1">
      <alignment vertical="center" wrapText="1"/>
    </xf>
    <xf numFmtId="0" fontId="6" fillId="0" borderId="0" xfId="15" applyFont="1" applyFill="1" applyAlignment="1">
      <alignment horizontal="center"/>
    </xf>
    <xf numFmtId="0" fontId="6" fillId="0" borderId="0" xfId="15" applyFont="1" applyFill="1" applyAlignment="1">
      <alignment horizontal="center" wrapText="1"/>
    </xf>
    <xf numFmtId="0" fontId="6" fillId="0" borderId="0" xfId="15" applyFont="1" applyFill="1" applyAlignment="1">
      <alignment horizontal="center" vertical="center" wrapText="1"/>
    </xf>
    <xf numFmtId="0" fontId="6" fillId="0" borderId="0" xfId="15" applyFont="1" applyFill="1" applyAlignment="1"/>
    <xf numFmtId="0" fontId="86" fillId="0" borderId="0" xfId="15" applyFill="1"/>
    <xf numFmtId="0" fontId="6" fillId="0" borderId="0" xfId="15" applyFont="1" applyFill="1" applyAlignment="1">
      <alignment horizontal="left"/>
    </xf>
    <xf numFmtId="0" fontId="6" fillId="0" borderId="0" xfId="15" applyFont="1" applyFill="1"/>
    <xf numFmtId="0" fontId="6" fillId="0" borderId="0" xfId="27" applyFont="1" applyFill="1" applyAlignment="1">
      <alignment horizontal="center"/>
    </xf>
    <xf numFmtId="0" fontId="6" fillId="0" borderId="0" xfId="27" applyFont="1" applyFill="1" applyAlignment="1">
      <alignment horizontal="center" wrapText="1"/>
    </xf>
    <xf numFmtId="0" fontId="6" fillId="0" borderId="0" xfId="27" applyFont="1" applyFill="1" applyAlignment="1">
      <alignment horizontal="center" vertical="center" wrapText="1"/>
    </xf>
    <xf numFmtId="0" fontId="6" fillId="0" borderId="0" xfId="27" applyFont="1" applyFill="1"/>
    <xf numFmtId="0" fontId="3" fillId="0" borderId="0" xfId="27" applyFill="1"/>
    <xf numFmtId="0" fontId="7" fillId="0" borderId="15" xfId="27" applyFont="1" applyFill="1" applyBorder="1" applyAlignment="1">
      <alignment horizontal="center" vertical="top" wrapText="1"/>
    </xf>
    <xf numFmtId="0" fontId="3" fillId="0" borderId="0" xfId="27" applyFill="1" applyAlignment="1">
      <alignment horizontal="center" vertical="top" wrapText="1"/>
    </xf>
    <xf numFmtId="0" fontId="12" fillId="0" borderId="15" xfId="27" applyFont="1" applyFill="1" applyBorder="1" applyAlignment="1">
      <alignment horizontal="center" wrapText="1"/>
    </xf>
    <xf numFmtId="0" fontId="80" fillId="0" borderId="0" xfId="27" applyFont="1" applyFill="1" applyAlignment="1">
      <alignment horizontal="center"/>
    </xf>
    <xf numFmtId="0" fontId="81" fillId="0" borderId="27" xfId="27" applyFont="1" applyFill="1" applyBorder="1" applyAlignment="1">
      <alignment horizontal="center" vertical="center" wrapText="1"/>
    </xf>
    <xf numFmtId="3" fontId="50" fillId="0" borderId="15" xfId="27" applyNumberFormat="1" applyFont="1" applyFill="1" applyBorder="1" applyAlignment="1">
      <alignment vertical="center"/>
    </xf>
    <xf numFmtId="3" fontId="50" fillId="0" borderId="15" xfId="27" applyNumberFormat="1" applyFont="1" applyBorder="1" applyAlignment="1">
      <alignment vertical="center"/>
    </xf>
    <xf numFmtId="0" fontId="82" fillId="0" borderId="0" xfId="27" applyFont="1" applyFill="1" applyAlignment="1">
      <alignment vertical="center"/>
    </xf>
    <xf numFmtId="0" fontId="50" fillId="0" borderId="16" xfId="27" applyFont="1" applyFill="1" applyBorder="1" applyAlignment="1">
      <alignment horizontal="center" vertical="top"/>
    </xf>
    <xf numFmtId="0" fontId="50" fillId="0" borderId="25" xfId="27" applyFont="1" applyFill="1" applyBorder="1" applyAlignment="1">
      <alignment horizontal="left" vertical="top" wrapText="1"/>
    </xf>
    <xf numFmtId="0" fontId="50" fillId="0" borderId="20" xfId="27" applyFont="1" applyFill="1" applyBorder="1" applyAlignment="1">
      <alignment horizontal="center" vertical="top"/>
    </xf>
    <xf numFmtId="0" fontId="12" fillId="0" borderId="27" xfId="27" applyFont="1" applyFill="1" applyBorder="1" applyAlignment="1">
      <alignment horizontal="center" vertical="center" wrapText="1"/>
    </xf>
    <xf numFmtId="3" fontId="12" fillId="0" borderId="15" xfId="27" applyNumberFormat="1" applyFont="1" applyFill="1" applyBorder="1" applyAlignment="1">
      <alignment vertical="center"/>
    </xf>
    <xf numFmtId="0" fontId="83" fillId="0" borderId="0" xfId="27" applyFont="1" applyFill="1" applyAlignment="1">
      <alignment vertical="center"/>
    </xf>
    <xf numFmtId="0" fontId="6" fillId="0" borderId="16" xfId="27" applyFont="1" applyFill="1" applyBorder="1" applyAlignment="1">
      <alignment horizontal="left" vertical="top" wrapText="1"/>
    </xf>
    <xf numFmtId="0" fontId="6" fillId="0" borderId="25" xfId="27" applyFont="1" applyFill="1" applyBorder="1" applyAlignment="1">
      <alignment horizontal="left" vertical="top" wrapText="1"/>
    </xf>
    <xf numFmtId="0" fontId="35" fillId="0" borderId="27" xfId="27" applyFont="1" applyFill="1" applyBorder="1" applyAlignment="1">
      <alignment horizontal="center" vertical="center" wrapText="1"/>
    </xf>
    <xf numFmtId="0" fontId="82" fillId="0" borderId="0" xfId="27" applyFont="1" applyFill="1" applyAlignment="1"/>
    <xf numFmtId="0" fontId="82" fillId="0" borderId="0" xfId="27" applyFont="1" applyFill="1"/>
    <xf numFmtId="0" fontId="6" fillId="0" borderId="15" xfId="27" applyFont="1" applyFill="1" applyBorder="1" applyAlignment="1">
      <alignment horizontal="center" vertical="center" wrapText="1"/>
    </xf>
    <xf numFmtId="0" fontId="7" fillId="0" borderId="27" xfId="15" applyFont="1" applyFill="1" applyBorder="1" applyAlignment="1">
      <alignment horizontal="center" vertical="center" wrapText="1"/>
    </xf>
    <xf numFmtId="3" fontId="42" fillId="0" borderId="15" xfId="15" applyNumberFormat="1" applyFont="1" applyFill="1" applyBorder="1" applyAlignment="1">
      <alignment vertical="center"/>
    </xf>
    <xf numFmtId="0" fontId="84" fillId="0" borderId="0" xfId="15" applyFont="1" applyFill="1" applyAlignment="1">
      <alignment vertical="center"/>
    </xf>
    <xf numFmtId="0" fontId="6" fillId="0" borderId="0" xfId="14" applyFont="1" applyFill="1" applyBorder="1" applyAlignment="1">
      <alignment horizontal="center" vertical="center" wrapText="1"/>
    </xf>
    <xf numFmtId="0" fontId="32" fillId="0" borderId="0" xfId="26" applyFont="1" applyFill="1" applyAlignment="1">
      <alignment horizontal="left" vertical="center"/>
    </xf>
    <xf numFmtId="0" fontId="6" fillId="0" borderId="0" xfId="14" applyFont="1" applyFill="1" applyBorder="1" applyAlignment="1">
      <alignment wrapText="1"/>
    </xf>
    <xf numFmtId="0" fontId="6" fillId="0" borderId="0" xfId="15" applyFont="1" applyFill="1" applyBorder="1" applyAlignment="1">
      <alignment horizontal="left" vertical="center" wrapText="1"/>
    </xf>
    <xf numFmtId="0" fontId="3" fillId="0" borderId="0" xfId="15" applyFont="1" applyFill="1"/>
    <xf numFmtId="2" fontId="31" fillId="0" borderId="28" xfId="30" applyNumberFormat="1" applyFont="1" applyBorder="1" applyAlignment="1">
      <alignment horizontal="center" vertical="center" wrapText="1"/>
    </xf>
    <xf numFmtId="2" fontId="31" fillId="0" borderId="18" xfId="30" applyNumberFormat="1" applyFont="1" applyBorder="1" applyAlignment="1">
      <alignment horizontal="center" vertical="center" wrapText="1"/>
    </xf>
    <xf numFmtId="2" fontId="31" fillId="0" borderId="27" xfId="30" applyNumberFormat="1" applyFont="1" applyBorder="1" applyAlignment="1">
      <alignment horizontal="center" vertical="center" wrapText="1"/>
    </xf>
    <xf numFmtId="2" fontId="31" fillId="0" borderId="22" xfId="30" applyNumberFormat="1" applyFont="1" applyBorder="1" applyAlignment="1">
      <alignment horizontal="center" vertical="center" wrapText="1"/>
    </xf>
    <xf numFmtId="2" fontId="31" fillId="0" borderId="20" xfId="30" applyNumberFormat="1" applyFont="1" applyBorder="1" applyAlignment="1">
      <alignment horizontal="center" vertical="center" wrapText="1"/>
    </xf>
    <xf numFmtId="2" fontId="31" fillId="0" borderId="24" xfId="30" applyNumberFormat="1" applyFont="1" applyBorder="1" applyAlignment="1">
      <alignment horizontal="center" vertical="center" wrapText="1"/>
    </xf>
    <xf numFmtId="2" fontId="31" fillId="0" borderId="26" xfId="30" applyNumberFormat="1" applyFont="1" applyBorder="1" applyAlignment="1">
      <alignment horizontal="center" vertical="center" wrapText="1"/>
    </xf>
    <xf numFmtId="49" fontId="33" fillId="0" borderId="0" xfId="30" applyNumberFormat="1" applyFont="1" applyAlignment="1">
      <alignment horizontal="center" vertical="center"/>
    </xf>
    <xf numFmtId="0" fontId="6" fillId="0" borderId="0" xfId="30" applyFont="1" applyAlignment="1">
      <alignment horizontal="left" vertical="top" wrapText="1"/>
    </xf>
    <xf numFmtId="49" fontId="31" fillId="0" borderId="22" xfId="30" applyNumberFormat="1" applyFont="1" applyBorder="1" applyAlignment="1">
      <alignment horizontal="center" vertical="center" wrapText="1"/>
    </xf>
    <xf numFmtId="49" fontId="31" fillId="0" borderId="16" xfId="30" applyNumberFormat="1" applyFont="1" applyBorder="1" applyAlignment="1">
      <alignment horizontal="center" vertical="center" wrapText="1"/>
    </xf>
    <xf numFmtId="49" fontId="31" fillId="0" borderId="20" xfId="30" applyNumberFormat="1" applyFont="1" applyBorder="1" applyAlignment="1">
      <alignment horizontal="center" vertical="center" wrapText="1"/>
    </xf>
    <xf numFmtId="49" fontId="31" fillId="0" borderId="24" xfId="30" applyNumberFormat="1" applyFont="1" applyBorder="1" applyAlignment="1">
      <alignment horizontal="center" vertical="center" wrapText="1"/>
    </xf>
    <xf numFmtId="49" fontId="31" fillId="0" borderId="25" xfId="30" applyNumberFormat="1" applyFont="1" applyBorder="1" applyAlignment="1">
      <alignment horizontal="center" vertical="center" wrapText="1"/>
    </xf>
    <xf numFmtId="49" fontId="31" fillId="0" borderId="26" xfId="30" applyNumberFormat="1" applyFont="1" applyBorder="1" applyAlignment="1">
      <alignment horizontal="center" vertical="center" wrapText="1"/>
    </xf>
    <xf numFmtId="2" fontId="7" fillId="0" borderId="22" xfId="30" applyNumberFormat="1" applyFont="1" applyBorder="1" applyAlignment="1">
      <alignment horizontal="center" vertical="center" wrapText="1"/>
    </xf>
    <xf numFmtId="2" fontId="7" fillId="0" borderId="16" xfId="30" applyNumberFormat="1" applyFont="1" applyBorder="1" applyAlignment="1">
      <alignment horizontal="center" vertical="center" wrapText="1"/>
    </xf>
    <xf numFmtId="2" fontId="7" fillId="0" borderId="20" xfId="30" applyNumberFormat="1" applyFont="1" applyBorder="1" applyAlignment="1">
      <alignment horizontal="center" vertical="center" wrapText="1"/>
    </xf>
    <xf numFmtId="2" fontId="31" fillId="0" borderId="25" xfId="30" applyNumberFormat="1" applyFont="1" applyBorder="1" applyAlignment="1">
      <alignment horizontal="center" vertical="center" wrapText="1"/>
    </xf>
    <xf numFmtId="2" fontId="31" fillId="0" borderId="16" xfId="30" applyNumberFormat="1" applyFont="1" applyBorder="1" applyAlignment="1">
      <alignment horizontal="center" vertical="center" wrapText="1"/>
    </xf>
    <xf numFmtId="2" fontId="31" fillId="0" borderId="23" xfId="30" applyNumberFormat="1" applyFont="1" applyBorder="1" applyAlignment="1">
      <alignment horizontal="center" vertical="center" wrapText="1"/>
    </xf>
    <xf numFmtId="2" fontId="31" fillId="0" borderId="29" xfId="30" applyNumberFormat="1" applyFont="1" applyBorder="1" applyAlignment="1">
      <alignment horizontal="center" vertical="center" wrapText="1"/>
    </xf>
    <xf numFmtId="49" fontId="31" fillId="3" borderId="24" xfId="30" applyNumberFormat="1" applyFont="1" applyFill="1" applyBorder="1" applyAlignment="1">
      <alignment horizontal="center" vertical="center" wrapText="1"/>
    </xf>
    <xf numFmtId="49" fontId="31" fillId="3" borderId="25" xfId="30" applyNumberFormat="1" applyFont="1" applyFill="1" applyBorder="1" applyAlignment="1">
      <alignment horizontal="center" vertical="center" wrapText="1"/>
    </xf>
    <xf numFmtId="49" fontId="31" fillId="3" borderId="26" xfId="30" applyNumberFormat="1" applyFont="1" applyFill="1" applyBorder="1" applyAlignment="1">
      <alignment horizontal="center" vertical="center" wrapText="1"/>
    </xf>
    <xf numFmtId="3" fontId="38" fillId="3" borderId="23" xfId="30" applyNumberFormat="1" applyFont="1" applyFill="1" applyBorder="1" applyAlignment="1">
      <alignment horizontal="center" vertical="center" wrapText="1"/>
    </xf>
    <xf numFmtId="3" fontId="38" fillId="3" borderId="0" xfId="30" applyNumberFormat="1" applyFont="1" applyFill="1" applyBorder="1" applyAlignment="1">
      <alignment horizontal="center" vertical="center" wrapText="1"/>
    </xf>
    <xf numFmtId="3" fontId="38" fillId="3" borderId="21" xfId="30" applyNumberFormat="1" applyFont="1" applyFill="1" applyBorder="1" applyAlignment="1">
      <alignment horizontal="center" vertical="center" wrapText="1"/>
    </xf>
    <xf numFmtId="2" fontId="7" fillId="0" borderId="24" xfId="30" applyNumberFormat="1" applyFont="1" applyBorder="1" applyAlignment="1">
      <alignment horizontal="center" vertical="center" wrapText="1"/>
    </xf>
    <xf numFmtId="2" fontId="7" fillId="0" borderId="29" xfId="30" applyNumberFormat="1" applyFont="1" applyBorder="1" applyAlignment="1">
      <alignment horizontal="center" vertical="center" wrapText="1"/>
    </xf>
    <xf numFmtId="49" fontId="6" fillId="0" borderId="22" xfId="30" applyNumberFormat="1" applyFont="1" applyBorder="1" applyAlignment="1">
      <alignment horizontal="center" vertical="center" wrapText="1"/>
    </xf>
    <xf numFmtId="49" fontId="6" fillId="0" borderId="16" xfId="30" applyNumberFormat="1" applyFont="1" applyBorder="1" applyAlignment="1">
      <alignment horizontal="center" vertical="center" wrapText="1"/>
    </xf>
    <xf numFmtId="49" fontId="6" fillId="0" borderId="20" xfId="30" applyNumberFormat="1" applyFont="1" applyBorder="1" applyAlignment="1">
      <alignment horizontal="center" vertical="center" wrapText="1"/>
    </xf>
    <xf numFmtId="3" fontId="6" fillId="0" borderId="22" xfId="30" applyNumberFormat="1" applyFont="1" applyBorder="1" applyAlignment="1">
      <alignment horizontal="left" vertical="center" wrapText="1"/>
    </xf>
    <xf numFmtId="3" fontId="6" fillId="0" borderId="16" xfId="30" applyNumberFormat="1" applyFont="1" applyBorder="1" applyAlignment="1">
      <alignment horizontal="left" vertical="center" wrapText="1"/>
    </xf>
    <xf numFmtId="3" fontId="6" fillId="0" borderId="20" xfId="30" applyNumberFormat="1" applyFont="1" applyBorder="1" applyAlignment="1">
      <alignment horizontal="left" vertical="center" wrapText="1"/>
    </xf>
    <xf numFmtId="49" fontId="6" fillId="0" borderId="22" xfId="30" applyNumberFormat="1" applyFont="1" applyBorder="1" applyAlignment="1">
      <alignment horizontal="center" vertical="center"/>
    </xf>
    <xf numFmtId="49" fontId="6" fillId="0" borderId="16" xfId="30" applyNumberFormat="1" applyFont="1" applyBorder="1" applyAlignment="1">
      <alignment horizontal="center" vertical="center"/>
    </xf>
    <xf numFmtId="49" fontId="6" fillId="0" borderId="20" xfId="30" applyNumberFormat="1" applyFont="1" applyBorder="1" applyAlignment="1">
      <alignment horizontal="center" vertical="center"/>
    </xf>
    <xf numFmtId="49" fontId="6" fillId="0" borderId="22" xfId="30" applyNumberFormat="1" applyFont="1" applyBorder="1" applyAlignment="1">
      <alignment horizontal="left" vertical="center" wrapText="1"/>
    </xf>
    <xf numFmtId="49" fontId="6" fillId="0" borderId="16" xfId="30" applyNumberFormat="1" applyFont="1" applyBorder="1" applyAlignment="1">
      <alignment horizontal="left" vertical="center" wrapText="1"/>
    </xf>
    <xf numFmtId="49" fontId="6" fillId="0" borderId="20" xfId="30" applyNumberFormat="1" applyFont="1" applyBorder="1" applyAlignment="1">
      <alignment horizontal="left" vertical="center" wrapText="1"/>
    </xf>
    <xf numFmtId="3" fontId="38" fillId="3" borderId="29" xfId="30" applyNumberFormat="1" applyFont="1" applyFill="1" applyBorder="1" applyAlignment="1">
      <alignment horizontal="left" vertical="center" wrapText="1"/>
    </xf>
    <xf numFmtId="3" fontId="38" fillId="3" borderId="30" xfId="30" applyNumberFormat="1" applyFont="1" applyFill="1" applyBorder="1" applyAlignment="1">
      <alignment horizontal="left" vertical="center" wrapText="1"/>
    </xf>
    <xf numFmtId="3" fontId="38" fillId="3" borderId="31" xfId="30" applyNumberFormat="1" applyFont="1" applyFill="1" applyBorder="1" applyAlignment="1">
      <alignment horizontal="left" vertical="center" wrapText="1"/>
    </xf>
    <xf numFmtId="49" fontId="6" fillId="0" borderId="15" xfId="30" applyNumberFormat="1" applyFont="1" applyBorder="1" applyAlignment="1">
      <alignment horizontal="center" vertical="center" wrapText="1"/>
    </xf>
    <xf numFmtId="3" fontId="6" fillId="0" borderId="15" xfId="30" applyNumberFormat="1" applyFont="1" applyBorder="1" applyAlignment="1">
      <alignment horizontal="left" vertical="center" wrapText="1"/>
    </xf>
    <xf numFmtId="49" fontId="41" fillId="3" borderId="24" xfId="30" applyNumberFormat="1" applyFont="1" applyFill="1" applyBorder="1" applyAlignment="1">
      <alignment horizontal="center" vertical="center"/>
    </xf>
    <xf numFmtId="49" fontId="41" fillId="3" borderId="29" xfId="30" applyNumberFormat="1" applyFont="1" applyFill="1" applyBorder="1" applyAlignment="1">
      <alignment horizontal="center" vertical="center"/>
    </xf>
    <xf numFmtId="49" fontId="41" fillId="3" borderId="25" xfId="30" applyNumberFormat="1" applyFont="1" applyFill="1" applyBorder="1" applyAlignment="1">
      <alignment horizontal="center" vertical="center"/>
    </xf>
    <xf numFmtId="49" fontId="41" fillId="3" borderId="30" xfId="30" applyNumberFormat="1" applyFont="1" applyFill="1" applyBorder="1" applyAlignment="1">
      <alignment horizontal="center" vertical="center"/>
    </xf>
    <xf numFmtId="49" fontId="41" fillId="3" borderId="26" xfId="30" applyNumberFormat="1" applyFont="1" applyFill="1" applyBorder="1" applyAlignment="1">
      <alignment horizontal="center" vertical="center"/>
    </xf>
    <xf numFmtId="49" fontId="41" fillId="3" borderId="31" xfId="30" applyNumberFormat="1" applyFont="1" applyFill="1" applyBorder="1" applyAlignment="1">
      <alignment horizontal="center" vertical="center"/>
    </xf>
    <xf numFmtId="0" fontId="5" fillId="0" borderId="0" xfId="10" applyFont="1" applyAlignment="1">
      <alignment horizontal="justify" wrapText="1"/>
    </xf>
    <xf numFmtId="1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justify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top" wrapText="1"/>
    </xf>
    <xf numFmtId="0" fontId="22" fillId="0" borderId="0" xfId="32" applyFont="1" applyAlignment="1">
      <alignment horizontal="left" vertical="center" wrapText="1"/>
    </xf>
    <xf numFmtId="0" fontId="22" fillId="0" borderId="0" xfId="31" applyFont="1" applyFill="1" applyAlignment="1">
      <alignment horizontal="left" wrapText="1"/>
    </xf>
    <xf numFmtId="0" fontId="16" fillId="0" borderId="15" xfId="35" applyFont="1" applyFill="1" applyBorder="1" applyAlignment="1">
      <alignment horizontal="center" vertical="center" wrapText="1"/>
    </xf>
    <xf numFmtId="0" fontId="16" fillId="0" borderId="15" xfId="35" applyFont="1" applyBorder="1" applyAlignment="1">
      <alignment horizontal="center" vertical="center" wrapText="1"/>
    </xf>
    <xf numFmtId="0" fontId="16" fillId="0" borderId="27" xfId="35" applyFont="1" applyBorder="1" applyAlignment="1">
      <alignment horizontal="center" vertical="center" wrapText="1"/>
    </xf>
    <xf numFmtId="0" fontId="46" fillId="0" borderId="25" xfId="35" applyFont="1" applyFill="1" applyBorder="1" applyAlignment="1">
      <alignment horizontal="left" wrapText="1"/>
    </xf>
    <xf numFmtId="0" fontId="46" fillId="0" borderId="0" xfId="35" applyFont="1" applyFill="1" applyBorder="1" applyAlignment="1">
      <alignment horizontal="left" wrapText="1"/>
    </xf>
    <xf numFmtId="0" fontId="46" fillId="0" borderId="30" xfId="35" applyFont="1" applyFill="1" applyBorder="1" applyAlignment="1">
      <alignment horizontal="left" wrapText="1"/>
    </xf>
    <xf numFmtId="0" fontId="13" fillId="0" borderId="25" xfId="35" applyFont="1" applyFill="1" applyBorder="1" applyAlignment="1">
      <alignment horizontal="center" wrapText="1"/>
    </xf>
    <xf numFmtId="0" fontId="13" fillId="0" borderId="0" xfId="35" applyFont="1" applyFill="1" applyBorder="1" applyAlignment="1">
      <alignment horizontal="center" wrapText="1"/>
    </xf>
    <xf numFmtId="0" fontId="13" fillId="0" borderId="30" xfId="35" applyFont="1" applyFill="1" applyBorder="1" applyAlignment="1">
      <alignment horizontal="center" wrapText="1"/>
    </xf>
    <xf numFmtId="0" fontId="28" fillId="0" borderId="25" xfId="35" applyFont="1" applyFill="1" applyBorder="1" applyAlignment="1">
      <alignment horizontal="center" wrapText="1"/>
    </xf>
    <xf numFmtId="0" fontId="28" fillId="0" borderId="0" xfId="35" applyFont="1" applyFill="1" applyBorder="1" applyAlignment="1">
      <alignment horizontal="center" wrapText="1"/>
    </xf>
    <xf numFmtId="0" fontId="28" fillId="0" borderId="30" xfId="35" applyFont="1" applyFill="1" applyBorder="1" applyAlignment="1">
      <alignment horizontal="center" wrapText="1"/>
    </xf>
    <xf numFmtId="0" fontId="21" fillId="0" borderId="25" xfId="35" applyFont="1" applyFill="1" applyBorder="1" applyAlignment="1">
      <alignment horizontal="center" wrapText="1"/>
    </xf>
    <xf numFmtId="0" fontId="21" fillId="0" borderId="0" xfId="35" applyFont="1" applyFill="1" applyBorder="1" applyAlignment="1">
      <alignment horizontal="center" wrapText="1"/>
    </xf>
    <xf numFmtId="0" fontId="21" fillId="0" borderId="30" xfId="35" applyFont="1" applyFill="1" applyBorder="1" applyAlignment="1">
      <alignment horizontal="center" wrapText="1"/>
    </xf>
    <xf numFmtId="0" fontId="21" fillId="0" borderId="26" xfId="35" applyFont="1" applyFill="1" applyBorder="1" applyAlignment="1">
      <alignment horizontal="center" wrapText="1"/>
    </xf>
    <xf numFmtId="0" fontId="21" fillId="0" borderId="21" xfId="35" applyFont="1" applyFill="1" applyBorder="1" applyAlignment="1">
      <alignment horizontal="center" wrapText="1"/>
    </xf>
    <xf numFmtId="0" fontId="21" fillId="0" borderId="31" xfId="35" applyFont="1" applyFill="1" applyBorder="1" applyAlignment="1">
      <alignment horizontal="center" wrapText="1"/>
    </xf>
    <xf numFmtId="0" fontId="52" fillId="0" borderId="15" xfId="29" applyFont="1" applyFill="1" applyBorder="1" applyAlignment="1">
      <alignment horizontal="center" vertical="center" wrapText="1"/>
    </xf>
    <xf numFmtId="0" fontId="51" fillId="0" borderId="15" xfId="29" applyFont="1" applyFill="1" applyBorder="1" applyAlignment="1">
      <alignment horizontal="center" vertical="center" wrapText="1"/>
    </xf>
    <xf numFmtId="0" fontId="16" fillId="0" borderId="15" xfId="29" applyFont="1" applyFill="1" applyBorder="1" applyAlignment="1">
      <alignment horizontal="center" vertical="center"/>
    </xf>
    <xf numFmtId="0" fontId="48" fillId="0" borderId="0" xfId="29" applyNumberFormat="1" applyFont="1" applyFill="1" applyAlignment="1">
      <alignment horizontal="left" vertical="center" wrapText="1"/>
    </xf>
    <xf numFmtId="0" fontId="16" fillId="0" borderId="22" xfId="29" applyFont="1" applyFill="1" applyBorder="1" applyAlignment="1">
      <alignment horizontal="center" vertical="center"/>
    </xf>
    <xf numFmtId="0" fontId="16" fillId="0" borderId="16" xfId="29" applyFont="1" applyFill="1" applyBorder="1" applyAlignment="1">
      <alignment horizontal="center" vertical="center"/>
    </xf>
    <xf numFmtId="0" fontId="16" fillId="0" borderId="20" xfId="29" applyFont="1" applyFill="1" applyBorder="1" applyAlignment="1">
      <alignment horizontal="center" vertical="center"/>
    </xf>
    <xf numFmtId="0" fontId="51" fillId="0" borderId="22" xfId="29" applyFont="1" applyFill="1" applyBorder="1" applyAlignment="1">
      <alignment horizontal="center" vertical="center" wrapText="1"/>
    </xf>
    <xf numFmtId="0" fontId="51" fillId="0" borderId="16" xfId="29" applyFont="1" applyFill="1" applyBorder="1" applyAlignment="1">
      <alignment horizontal="center" vertical="center" wrapText="1"/>
    </xf>
    <xf numFmtId="0" fontId="51" fillId="0" borderId="20" xfId="29" applyFont="1" applyFill="1" applyBorder="1" applyAlignment="1">
      <alignment horizontal="center" vertical="center" wrapText="1"/>
    </xf>
    <xf numFmtId="0" fontId="52" fillId="0" borderId="22" xfId="29" applyFont="1" applyFill="1" applyBorder="1" applyAlignment="1">
      <alignment horizontal="center" vertical="center" wrapText="1"/>
    </xf>
    <xf numFmtId="0" fontId="52" fillId="0" borderId="16" xfId="29" applyFont="1" applyFill="1" applyBorder="1" applyAlignment="1">
      <alignment horizontal="center" vertical="center" wrapText="1"/>
    </xf>
    <xf numFmtId="0" fontId="52" fillId="0" borderId="20" xfId="29" applyFont="1" applyFill="1" applyBorder="1" applyAlignment="1">
      <alignment horizontal="center" vertical="center" wrapText="1"/>
    </xf>
    <xf numFmtId="0" fontId="15" fillId="0" borderId="15" xfId="29" applyFont="1" applyFill="1" applyBorder="1" applyAlignment="1">
      <alignment horizontal="center" vertical="center" wrapText="1"/>
    </xf>
    <xf numFmtId="0" fontId="15" fillId="0" borderId="15" xfId="29" applyFont="1" applyFill="1" applyBorder="1" applyAlignment="1">
      <alignment horizontal="center" vertical="center"/>
    </xf>
    <xf numFmtId="0" fontId="16" fillId="0" borderId="15" xfId="29" applyFont="1" applyFill="1" applyBorder="1" applyAlignment="1">
      <alignment horizontal="center" vertical="center" wrapText="1"/>
    </xf>
    <xf numFmtId="0" fontId="53" fillId="0" borderId="15" xfId="29" applyFont="1" applyFill="1" applyBorder="1" applyAlignment="1">
      <alignment horizontal="center" vertical="center"/>
    </xf>
    <xf numFmtId="0" fontId="54" fillId="0" borderId="15" xfId="29" applyFont="1" applyFill="1" applyBorder="1" applyAlignment="1">
      <alignment horizontal="center"/>
    </xf>
    <xf numFmtId="0" fontId="55" fillId="6" borderId="15" xfId="29" applyFont="1" applyFill="1" applyBorder="1" applyAlignment="1">
      <alignment horizontal="center"/>
    </xf>
    <xf numFmtId="0" fontId="52" fillId="0" borderId="15" xfId="29" applyFont="1" applyFill="1" applyBorder="1" applyAlignment="1">
      <alignment horizontal="center" vertical="center"/>
    </xf>
    <xf numFmtId="0" fontId="55" fillId="0" borderId="15" xfId="29" applyFont="1" applyFill="1" applyBorder="1" applyAlignment="1">
      <alignment horizontal="center"/>
    </xf>
    <xf numFmtId="0" fontId="13" fillId="0" borderId="15" xfId="29" applyFont="1" applyFill="1" applyBorder="1" applyAlignment="1">
      <alignment horizontal="center" vertical="center" wrapText="1"/>
    </xf>
    <xf numFmtId="0" fontId="13" fillId="0" borderId="15" xfId="29" applyFont="1" applyFill="1" applyBorder="1" applyAlignment="1">
      <alignment horizontal="center" vertical="center"/>
    </xf>
    <xf numFmtId="49" fontId="13" fillId="0" borderId="15" xfId="29" applyNumberFormat="1" applyFont="1" applyFill="1" applyBorder="1" applyAlignment="1">
      <alignment horizontal="center" vertical="center"/>
    </xf>
    <xf numFmtId="0" fontId="13" fillId="0" borderId="15" xfId="29" applyFont="1" applyFill="1" applyBorder="1" applyAlignment="1">
      <alignment horizontal="left" vertical="center" wrapText="1"/>
    </xf>
    <xf numFmtId="3" fontId="56" fillId="7" borderId="15" xfId="25" applyNumberFormat="1" applyFont="1" applyFill="1" applyBorder="1" applyAlignment="1">
      <alignment horizontal="right" vertical="center"/>
    </xf>
    <xf numFmtId="3" fontId="56" fillId="0" borderId="15" xfId="25" applyNumberFormat="1" applyFont="1" applyFill="1" applyBorder="1" applyAlignment="1">
      <alignment horizontal="right" vertical="center"/>
    </xf>
    <xf numFmtId="0" fontId="13" fillId="0" borderId="22" xfId="29" applyFont="1" applyFill="1" applyBorder="1" applyAlignment="1">
      <alignment horizontal="center" vertical="center"/>
    </xf>
    <xf numFmtId="0" fontId="13" fillId="0" borderId="16" xfId="29" applyFont="1" applyFill="1" applyBorder="1" applyAlignment="1">
      <alignment horizontal="center" vertical="center"/>
    </xf>
    <xf numFmtId="0" fontId="13" fillId="0" borderId="20" xfId="29" applyFont="1" applyFill="1" applyBorder="1" applyAlignment="1">
      <alignment horizontal="center" vertical="center"/>
    </xf>
    <xf numFmtId="49" fontId="13" fillId="0" borderId="22" xfId="29" applyNumberFormat="1" applyFont="1" applyFill="1" applyBorder="1" applyAlignment="1">
      <alignment horizontal="center" vertical="center"/>
    </xf>
    <xf numFmtId="49" fontId="13" fillId="0" borderId="16" xfId="29" applyNumberFormat="1" applyFont="1" applyFill="1" applyBorder="1" applyAlignment="1">
      <alignment horizontal="center" vertical="center"/>
    </xf>
    <xf numFmtId="49" fontId="13" fillId="0" borderId="20" xfId="29" applyNumberFormat="1" applyFont="1" applyFill="1" applyBorder="1" applyAlignment="1">
      <alignment horizontal="center" vertical="center"/>
    </xf>
    <xf numFmtId="0" fontId="13" fillId="0" borderId="22" xfId="29" applyFont="1" applyFill="1" applyBorder="1" applyAlignment="1">
      <alignment horizontal="left" vertical="center" wrapText="1"/>
    </xf>
    <xf numFmtId="0" fontId="13" fillId="0" borderId="16" xfId="29" applyFont="1" applyFill="1" applyBorder="1" applyAlignment="1">
      <alignment horizontal="left" vertical="center" wrapText="1"/>
    </xf>
    <xf numFmtId="0" fontId="13" fillId="0" borderId="20" xfId="29" applyFont="1" applyFill="1" applyBorder="1" applyAlignment="1">
      <alignment horizontal="left" vertical="center" wrapText="1"/>
    </xf>
    <xf numFmtId="0" fontId="13" fillId="0" borderId="22" xfId="29" applyFont="1" applyFill="1" applyBorder="1" applyAlignment="1">
      <alignment horizontal="center" vertical="center" wrapText="1"/>
    </xf>
    <xf numFmtId="0" fontId="13" fillId="0" borderId="16" xfId="29" applyFont="1" applyFill="1" applyBorder="1" applyAlignment="1">
      <alignment horizontal="center" vertical="center" wrapText="1"/>
    </xf>
    <xf numFmtId="0" fontId="13" fillId="0" borderId="20" xfId="29" applyFont="1" applyFill="1" applyBorder="1" applyAlignment="1">
      <alignment horizontal="center" vertical="center" wrapText="1"/>
    </xf>
    <xf numFmtId="0" fontId="58" fillId="0" borderId="15" xfId="29" applyFont="1" applyFill="1" applyBorder="1" applyAlignment="1">
      <alignment horizontal="center" vertical="center" wrapText="1"/>
    </xf>
    <xf numFmtId="0" fontId="58" fillId="0" borderId="15" xfId="29" applyFont="1" applyFill="1" applyBorder="1" applyAlignment="1">
      <alignment horizontal="center" vertical="center"/>
    </xf>
    <xf numFmtId="0" fontId="58" fillId="0" borderId="15" xfId="29" applyFont="1" applyFill="1" applyBorder="1" applyAlignment="1">
      <alignment horizontal="left" vertical="center" wrapText="1"/>
    </xf>
    <xf numFmtId="3" fontId="11" fillId="7" borderId="15" xfId="25" applyNumberFormat="1" applyFont="1" applyFill="1" applyBorder="1" applyAlignment="1">
      <alignment horizontal="right" vertical="center"/>
    </xf>
    <xf numFmtId="0" fontId="55" fillId="7" borderId="28" xfId="29" applyFont="1" applyFill="1" applyBorder="1" applyAlignment="1">
      <alignment horizontal="center" vertical="center"/>
    </xf>
    <xf numFmtId="0" fontId="55" fillId="7" borderId="18" xfId="29" applyFont="1" applyFill="1" applyBorder="1" applyAlignment="1">
      <alignment horizontal="center" vertical="center"/>
    </xf>
    <xf numFmtId="0" fontId="55" fillId="7" borderId="27" xfId="29" applyFont="1" applyFill="1" applyBorder="1" applyAlignment="1">
      <alignment horizontal="center" vertical="center"/>
    </xf>
    <xf numFmtId="0" fontId="1" fillId="0" borderId="15" xfId="28" applyBorder="1" applyAlignment="1">
      <alignment horizontal="center"/>
    </xf>
    <xf numFmtId="0" fontId="58" fillId="0" borderId="22" xfId="29" applyFont="1" applyFill="1" applyBorder="1" applyAlignment="1">
      <alignment horizontal="center" vertical="center"/>
    </xf>
    <xf numFmtId="0" fontId="58" fillId="0" borderId="16" xfId="29" applyFont="1" applyFill="1" applyBorder="1" applyAlignment="1">
      <alignment horizontal="center" vertical="center"/>
    </xf>
    <xf numFmtId="0" fontId="58" fillId="0" borderId="20" xfId="29" applyFont="1" applyFill="1" applyBorder="1" applyAlignment="1">
      <alignment horizontal="center" vertical="center"/>
    </xf>
    <xf numFmtId="0" fontId="58" fillId="0" borderId="22" xfId="29" applyFont="1" applyFill="1" applyBorder="1" applyAlignment="1">
      <alignment horizontal="left" vertical="center" wrapText="1"/>
    </xf>
    <xf numFmtId="0" fontId="58" fillId="0" borderId="16" xfId="29" applyFont="1" applyFill="1" applyBorder="1" applyAlignment="1">
      <alignment horizontal="left" vertical="center" wrapText="1"/>
    </xf>
    <xf numFmtId="0" fontId="58" fillId="0" borderId="20" xfId="29" applyFont="1" applyFill="1" applyBorder="1" applyAlignment="1">
      <alignment horizontal="left" vertical="center" wrapText="1"/>
    </xf>
    <xf numFmtId="0" fontId="59" fillId="0" borderId="15" xfId="29" applyFont="1" applyFill="1" applyBorder="1" applyAlignment="1">
      <alignment horizontal="center" vertical="center" wrapText="1"/>
    </xf>
    <xf numFmtId="49" fontId="13" fillId="0" borderId="22" xfId="29" applyNumberFormat="1" applyFont="1" applyFill="1" applyBorder="1" applyAlignment="1">
      <alignment horizontal="center" vertical="center" wrapText="1"/>
    </xf>
    <xf numFmtId="49" fontId="13" fillId="0" borderId="16" xfId="29" applyNumberFormat="1" applyFont="1" applyFill="1" applyBorder="1" applyAlignment="1">
      <alignment horizontal="center" vertical="center" wrapText="1"/>
    </xf>
    <xf numFmtId="49" fontId="13" fillId="0" borderId="20" xfId="29" applyNumberFormat="1" applyFont="1" applyFill="1" applyBorder="1" applyAlignment="1">
      <alignment horizontal="center" vertical="center" wrapText="1"/>
    </xf>
    <xf numFmtId="49" fontId="58" fillId="0" borderId="15" xfId="29" applyNumberFormat="1" applyFont="1" applyFill="1" applyBorder="1" applyAlignment="1">
      <alignment horizontal="center" vertical="center"/>
    </xf>
    <xf numFmtId="0" fontId="60" fillId="0" borderId="15" xfId="29" applyFont="1" applyFill="1" applyBorder="1" applyAlignment="1">
      <alignment horizontal="center" vertical="center" wrapText="1"/>
    </xf>
    <xf numFmtId="0" fontId="47" fillId="0" borderId="0" xfId="29" applyFont="1" applyAlignment="1">
      <alignment horizontal="left"/>
    </xf>
    <xf numFmtId="0" fontId="49" fillId="0" borderId="0" xfId="29" applyNumberFormat="1" applyFont="1" applyFill="1" applyAlignment="1">
      <alignment horizontal="left" wrapText="1"/>
    </xf>
    <xf numFmtId="0" fontId="6" fillId="0" borderId="22" xfId="33" applyFont="1" applyBorder="1" applyAlignment="1">
      <alignment horizontal="left" vertical="center" wrapText="1"/>
    </xf>
    <xf numFmtId="0" fontId="6" fillId="0" borderId="16" xfId="33" applyFont="1" applyBorder="1" applyAlignment="1">
      <alignment horizontal="left" vertical="center" wrapText="1"/>
    </xf>
    <xf numFmtId="0" fontId="6" fillId="0" borderId="20" xfId="33" applyFont="1" applyBorder="1" applyAlignment="1">
      <alignment horizontal="left" vertical="center" wrapText="1"/>
    </xf>
    <xf numFmtId="49" fontId="13" fillId="0" borderId="15" xfId="29" applyNumberFormat="1" applyFont="1" applyFill="1" applyBorder="1" applyAlignment="1">
      <alignment horizontal="center" vertical="center" wrapText="1"/>
    </xf>
    <xf numFmtId="3" fontId="56" fillId="8" borderId="15" xfId="25" applyNumberFormat="1" applyFont="1" applyFill="1" applyBorder="1" applyAlignment="1">
      <alignment horizontal="right" vertical="center"/>
    </xf>
    <xf numFmtId="0" fontId="6" fillId="0" borderId="15" xfId="33" applyFont="1" applyBorder="1" applyAlignment="1">
      <alignment horizontal="left" vertical="center" wrapText="1"/>
    </xf>
    <xf numFmtId="0" fontId="6" fillId="0" borderId="22" xfId="33" applyFont="1" applyFill="1" applyBorder="1" applyAlignment="1">
      <alignment horizontal="left" vertical="center" wrapText="1"/>
    </xf>
    <xf numFmtId="0" fontId="6" fillId="0" borderId="16" xfId="33" applyFont="1" applyFill="1" applyBorder="1" applyAlignment="1">
      <alignment horizontal="left" vertical="center" wrapText="1"/>
    </xf>
    <xf numFmtId="0" fontId="6" fillId="0" borderId="20" xfId="33" applyFont="1" applyFill="1" applyBorder="1" applyAlignment="1">
      <alignment horizontal="left" vertical="center" wrapText="1"/>
    </xf>
    <xf numFmtId="0" fontId="14" fillId="0" borderId="24" xfId="29" applyFont="1" applyFill="1" applyBorder="1" applyAlignment="1">
      <alignment horizontal="center" vertical="center" wrapText="1"/>
    </xf>
    <xf numFmtId="0" fontId="14" fillId="0" borderId="23" xfId="29" applyFont="1" applyFill="1" applyBorder="1" applyAlignment="1">
      <alignment horizontal="center" vertical="center" wrapText="1"/>
    </xf>
    <xf numFmtId="0" fontId="14" fillId="0" borderId="29" xfId="29" applyFont="1" applyFill="1" applyBorder="1" applyAlignment="1">
      <alignment horizontal="center" vertical="center" wrapText="1"/>
    </xf>
    <xf numFmtId="0" fontId="14" fillId="0" borderId="25" xfId="29" applyFont="1" applyFill="1" applyBorder="1" applyAlignment="1">
      <alignment horizontal="center" vertical="center" wrapText="1"/>
    </xf>
    <xf numFmtId="0" fontId="14" fillId="0" borderId="0" xfId="29" applyFont="1" applyFill="1" applyBorder="1" applyAlignment="1">
      <alignment horizontal="center" vertical="center" wrapText="1"/>
    </xf>
    <xf numFmtId="0" fontId="14" fillId="0" borderId="30" xfId="29" applyFont="1" applyFill="1" applyBorder="1" applyAlignment="1">
      <alignment horizontal="center" vertical="center" wrapText="1"/>
    </xf>
    <xf numFmtId="0" fontId="14" fillId="0" borderId="26" xfId="29" applyFont="1" applyFill="1" applyBorder="1" applyAlignment="1">
      <alignment horizontal="center" vertical="center" wrapText="1"/>
    </xf>
    <xf numFmtId="0" fontId="14" fillId="0" borderId="21" xfId="29" applyFont="1" applyFill="1" applyBorder="1" applyAlignment="1">
      <alignment horizontal="center" vertical="center" wrapText="1"/>
    </xf>
    <xf numFmtId="0" fontId="14" fillId="0" borderId="31" xfId="29" applyFont="1" applyFill="1" applyBorder="1" applyAlignment="1">
      <alignment horizontal="center" vertical="center" wrapText="1"/>
    </xf>
    <xf numFmtId="3" fontId="11" fillId="8" borderId="15" xfId="25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justify" wrapText="1"/>
    </xf>
    <xf numFmtId="3" fontId="13" fillId="0" borderId="0" xfId="34" applyNumberFormat="1" applyFont="1" applyFill="1" applyAlignment="1">
      <alignment horizontal="left" vertical="center"/>
    </xf>
    <xf numFmtId="0" fontId="20" fillId="0" borderId="0" xfId="34" applyNumberFormat="1" applyFont="1" applyFill="1" applyAlignment="1">
      <alignment horizontal="left" vertical="center" wrapText="1"/>
    </xf>
    <xf numFmtId="0" fontId="15" fillId="0" borderId="0" xfId="34" applyNumberFormat="1" applyFont="1" applyFill="1" applyAlignment="1">
      <alignment horizontal="left" vertical="center" wrapText="1"/>
    </xf>
    <xf numFmtId="0" fontId="43" fillId="0" borderId="24" xfId="34" applyFont="1" applyFill="1" applyBorder="1" applyAlignment="1">
      <alignment horizontal="center" vertical="top" wrapText="1"/>
    </xf>
    <xf numFmtId="0" fontId="43" fillId="0" borderId="29" xfId="34" applyFont="1" applyFill="1" applyBorder="1" applyAlignment="1">
      <alignment horizontal="center" vertical="top" wrapText="1"/>
    </xf>
    <xf numFmtId="0" fontId="43" fillId="0" borderId="25" xfId="34" applyFont="1" applyFill="1" applyBorder="1" applyAlignment="1">
      <alignment horizontal="center" vertical="top" wrapText="1"/>
    </xf>
    <xf numFmtId="0" fontId="43" fillId="0" borderId="30" xfId="34" applyFont="1" applyFill="1" applyBorder="1" applyAlignment="1">
      <alignment horizontal="center" vertical="top" wrapText="1"/>
    </xf>
    <xf numFmtId="0" fontId="43" fillId="0" borderId="26" xfId="34" applyFont="1" applyFill="1" applyBorder="1" applyAlignment="1">
      <alignment horizontal="center" vertical="top" wrapText="1"/>
    </xf>
    <xf numFmtId="0" fontId="43" fillId="0" borderId="31" xfId="34" applyFont="1" applyFill="1" applyBorder="1" applyAlignment="1">
      <alignment horizontal="center" vertical="top" wrapText="1"/>
    </xf>
    <xf numFmtId="0" fontId="2" fillId="0" borderId="29" xfId="36" applyFill="1" applyBorder="1" applyAlignment="1">
      <alignment vertical="top"/>
    </xf>
    <xf numFmtId="0" fontId="2" fillId="0" borderId="25" xfId="36" applyFill="1" applyBorder="1" applyAlignment="1">
      <alignment vertical="top"/>
    </xf>
    <xf numFmtId="0" fontId="2" fillId="0" borderId="30" xfId="36" applyFill="1" applyBorder="1" applyAlignment="1">
      <alignment vertical="top"/>
    </xf>
    <xf numFmtId="0" fontId="7" fillId="0" borderId="22" xfId="36" applyFont="1" applyFill="1" applyBorder="1" applyAlignment="1">
      <alignment horizontal="center" vertical="top"/>
    </xf>
    <xf numFmtId="0" fontId="7" fillId="0" borderId="16" xfId="36" applyFont="1" applyFill="1" applyBorder="1" applyAlignment="1">
      <alignment horizontal="center" vertical="top"/>
    </xf>
    <xf numFmtId="0" fontId="7" fillId="0" borderId="20" xfId="36" applyFont="1" applyFill="1" applyBorder="1" applyAlignment="1">
      <alignment horizontal="center" vertical="top"/>
    </xf>
    <xf numFmtId="0" fontId="42" fillId="0" borderId="22" xfId="36" applyFont="1" applyFill="1" applyBorder="1" applyAlignment="1">
      <alignment horizontal="center" vertical="top"/>
    </xf>
    <xf numFmtId="0" fontId="42" fillId="0" borderId="16" xfId="36" applyFont="1" applyFill="1" applyBorder="1" applyAlignment="1">
      <alignment horizontal="center" vertical="top"/>
    </xf>
    <xf numFmtId="0" fontId="42" fillId="0" borderId="20" xfId="36" applyFont="1" applyFill="1" applyBorder="1" applyAlignment="1">
      <alignment horizontal="center" vertical="top"/>
    </xf>
    <xf numFmtId="3" fontId="43" fillId="0" borderId="28" xfId="34" applyNumberFormat="1" applyFont="1" applyFill="1" applyBorder="1" applyAlignment="1">
      <alignment horizontal="center" vertical="top" wrapText="1"/>
    </xf>
    <xf numFmtId="3" fontId="43" fillId="0" borderId="18" xfId="34" applyNumberFormat="1" applyFont="1" applyFill="1" applyBorder="1" applyAlignment="1">
      <alignment horizontal="center" vertical="top" wrapText="1"/>
    </xf>
    <xf numFmtId="3" fontId="43" fillId="0" borderId="27" xfId="34" applyNumberFormat="1" applyFont="1" applyFill="1" applyBorder="1" applyAlignment="1">
      <alignment horizontal="center" vertical="top" wrapText="1"/>
    </xf>
    <xf numFmtId="3" fontId="43" fillId="0" borderId="22" xfId="34" applyNumberFormat="1" applyFont="1" applyFill="1" applyBorder="1" applyAlignment="1">
      <alignment horizontal="center" vertical="top" wrapText="1"/>
    </xf>
    <xf numFmtId="3" fontId="43" fillId="0" borderId="20" xfId="34" applyNumberFormat="1" applyFont="1" applyFill="1" applyBorder="1" applyAlignment="1">
      <alignment horizontal="center" vertical="top" wrapText="1"/>
    </xf>
    <xf numFmtId="0" fontId="34" fillId="0" borderId="28" xfId="34" applyFont="1" applyFill="1" applyBorder="1" applyAlignment="1">
      <alignment horizontal="center" vertical="center"/>
    </xf>
    <xf numFmtId="0" fontId="34" fillId="0" borderId="27" xfId="36" applyFont="1" applyFill="1" applyBorder="1" applyAlignment="1">
      <alignment horizontal="center" vertical="center"/>
    </xf>
    <xf numFmtId="0" fontId="64" fillId="0" borderId="24" xfId="34" applyFont="1" applyFill="1" applyBorder="1" applyAlignment="1">
      <alignment horizontal="center" vertical="center" wrapText="1"/>
    </xf>
    <xf numFmtId="0" fontId="64" fillId="0" borderId="23" xfId="34" applyFont="1" applyFill="1" applyBorder="1" applyAlignment="1">
      <alignment horizontal="center" vertical="center" wrapText="1"/>
    </xf>
    <xf numFmtId="0" fontId="64" fillId="0" borderId="29" xfId="34" applyFont="1" applyFill="1" applyBorder="1" applyAlignment="1">
      <alignment horizontal="center" vertical="center" wrapText="1"/>
    </xf>
    <xf numFmtId="0" fontId="86" fillId="0" borderId="25" xfId="9" applyFill="1" applyBorder="1" applyAlignment="1">
      <alignment horizontal="center" vertical="center" wrapText="1"/>
    </xf>
    <xf numFmtId="0" fontId="86" fillId="0" borderId="0" xfId="9" applyFill="1" applyAlignment="1">
      <alignment horizontal="center" vertical="center" wrapText="1"/>
    </xf>
    <xf numFmtId="0" fontId="86" fillId="0" borderId="30" xfId="9" applyFill="1" applyBorder="1" applyAlignment="1">
      <alignment horizontal="center" vertical="center" wrapText="1"/>
    </xf>
    <xf numFmtId="0" fontId="86" fillId="0" borderId="26" xfId="9" applyFill="1" applyBorder="1" applyAlignment="1">
      <alignment horizontal="center" vertical="center" wrapText="1"/>
    </xf>
    <xf numFmtId="0" fontId="86" fillId="0" borderId="21" xfId="9" applyFill="1" applyBorder="1" applyAlignment="1">
      <alignment horizontal="center" vertical="center" wrapText="1"/>
    </xf>
    <xf numFmtId="0" fontId="86" fillId="0" borderId="31" xfId="9" applyFill="1" applyBorder="1" applyAlignment="1">
      <alignment horizontal="center" vertical="center" wrapText="1"/>
    </xf>
    <xf numFmtId="0" fontId="25" fillId="0" borderId="24" xfId="34" applyFont="1" applyFill="1" applyBorder="1" applyAlignment="1">
      <alignment horizontal="left" vertical="center"/>
    </xf>
    <xf numFmtId="0" fontId="25" fillId="0" borderId="23" xfId="34" applyFont="1" applyFill="1" applyBorder="1" applyAlignment="1">
      <alignment horizontal="left" vertical="center"/>
    </xf>
    <xf numFmtId="0" fontId="25" fillId="0" borderId="29" xfId="34" applyFont="1" applyFill="1" applyBorder="1" applyAlignment="1">
      <alignment horizontal="left" vertical="center"/>
    </xf>
    <xf numFmtId="0" fontId="86" fillId="0" borderId="25" xfId="9" applyFill="1" applyBorder="1" applyAlignment="1">
      <alignment horizontal="left" vertical="center"/>
    </xf>
    <xf numFmtId="0" fontId="86" fillId="0" borderId="0" xfId="9" applyFill="1" applyAlignment="1">
      <alignment horizontal="left" vertical="center"/>
    </xf>
    <xf numFmtId="0" fontId="86" fillId="0" borderId="30" xfId="9" applyFill="1" applyBorder="1" applyAlignment="1">
      <alignment horizontal="left" vertical="center"/>
    </xf>
    <xf numFmtId="0" fontId="86" fillId="0" borderId="26" xfId="9" applyFill="1" applyBorder="1" applyAlignment="1">
      <alignment horizontal="left" vertical="center"/>
    </xf>
    <xf numFmtId="0" fontId="86" fillId="0" borderId="21" xfId="9" applyFill="1" applyBorder="1" applyAlignment="1">
      <alignment horizontal="left" vertical="center"/>
    </xf>
    <xf numFmtId="0" fontId="86" fillId="0" borderId="31" xfId="9" applyFill="1" applyBorder="1" applyAlignment="1">
      <alignment horizontal="left" vertical="center"/>
    </xf>
    <xf numFmtId="49" fontId="65" fillId="0" borderId="24" xfId="34" applyNumberFormat="1" applyFont="1" applyFill="1" applyBorder="1" applyAlignment="1">
      <alignment horizontal="center" vertical="top"/>
    </xf>
    <xf numFmtId="49" fontId="65" fillId="0" borderId="29" xfId="34" applyNumberFormat="1" applyFont="1" applyFill="1" applyBorder="1" applyAlignment="1">
      <alignment horizontal="center" vertical="top"/>
    </xf>
    <xf numFmtId="0" fontId="65" fillId="0" borderId="24" xfId="34" applyFont="1" applyFill="1" applyBorder="1" applyAlignment="1">
      <alignment horizontal="left" vertical="top" wrapText="1"/>
    </xf>
    <xf numFmtId="0" fontId="65" fillId="0" borderId="29" xfId="34" applyFont="1" applyFill="1" applyBorder="1" applyAlignment="1">
      <alignment horizontal="left" vertical="top" wrapText="1"/>
    </xf>
    <xf numFmtId="0" fontId="86" fillId="0" borderId="25" xfId="9" applyFill="1" applyBorder="1" applyAlignment="1">
      <alignment horizontal="left" vertical="top" wrapText="1"/>
    </xf>
    <xf numFmtId="0" fontId="86" fillId="0" borderId="30" xfId="9" applyFill="1" applyBorder="1" applyAlignment="1">
      <alignment horizontal="left" vertical="top" wrapText="1"/>
    </xf>
    <xf numFmtId="0" fontId="86" fillId="0" borderId="26" xfId="9" applyFill="1" applyBorder="1" applyAlignment="1">
      <alignment horizontal="left" vertical="top" wrapText="1"/>
    </xf>
    <xf numFmtId="0" fontId="86" fillId="0" borderId="31" xfId="9" applyFill="1" applyBorder="1" applyAlignment="1">
      <alignment horizontal="left" vertical="top" wrapText="1"/>
    </xf>
    <xf numFmtId="49" fontId="65" fillId="0" borderId="25" xfId="34" applyNumberFormat="1" applyFont="1" applyFill="1" applyBorder="1" applyAlignment="1">
      <alignment horizontal="center" vertical="top"/>
    </xf>
    <xf numFmtId="49" fontId="65" fillId="0" borderId="30" xfId="34" applyNumberFormat="1" applyFont="1" applyFill="1" applyBorder="1" applyAlignment="1">
      <alignment horizontal="center" vertical="top"/>
    </xf>
    <xf numFmtId="0" fontId="67" fillId="0" borderId="24" xfId="34" applyFont="1" applyFill="1" applyBorder="1" applyAlignment="1">
      <alignment horizontal="left" vertical="top" wrapText="1"/>
    </xf>
    <xf numFmtId="49" fontId="65" fillId="0" borderId="26" xfId="34" applyNumberFormat="1" applyFont="1" applyFill="1" applyBorder="1" applyAlignment="1">
      <alignment horizontal="center" vertical="top"/>
    </xf>
    <xf numFmtId="49" fontId="65" fillId="0" borderId="31" xfId="34" applyNumberFormat="1" applyFont="1" applyFill="1" applyBorder="1" applyAlignment="1">
      <alignment horizontal="center" vertical="top"/>
    </xf>
    <xf numFmtId="49" fontId="68" fillId="0" borderId="24" xfId="34" applyNumberFormat="1" applyFont="1" applyFill="1" applyBorder="1" applyAlignment="1">
      <alignment horizontal="left" vertical="center"/>
    </xf>
    <xf numFmtId="49" fontId="68" fillId="0" borderId="23" xfId="34" applyNumberFormat="1" applyFont="1" applyFill="1" applyBorder="1" applyAlignment="1">
      <alignment horizontal="left" vertical="center"/>
    </xf>
    <xf numFmtId="49" fontId="68" fillId="0" borderId="29" xfId="34" applyNumberFormat="1" applyFont="1" applyFill="1" applyBorder="1" applyAlignment="1">
      <alignment horizontal="left" vertical="center"/>
    </xf>
    <xf numFmtId="0" fontId="86" fillId="0" borderId="0" xfId="9" applyFill="1" applyBorder="1" applyAlignment="1">
      <alignment horizontal="left" vertical="center"/>
    </xf>
    <xf numFmtId="0" fontId="72" fillId="0" borderId="24" xfId="34" applyFont="1" applyFill="1" applyBorder="1" applyAlignment="1">
      <alignment horizontal="left" vertical="center" wrapText="1"/>
    </xf>
    <xf numFmtId="0" fontId="86" fillId="0" borderId="23" xfId="9" applyFill="1" applyBorder="1" applyAlignment="1">
      <alignment vertical="center"/>
    </xf>
    <xf numFmtId="0" fontId="86" fillId="0" borderId="29" xfId="9" applyFill="1" applyBorder="1" applyAlignment="1">
      <alignment vertical="center"/>
    </xf>
    <xf numFmtId="0" fontId="86" fillId="0" borderId="25" xfId="9" applyFill="1" applyBorder="1" applyAlignment="1">
      <alignment vertical="center"/>
    </xf>
    <xf numFmtId="0" fontId="86" fillId="0" borderId="0" xfId="9" applyFill="1" applyBorder="1" applyAlignment="1">
      <alignment vertical="center"/>
    </xf>
    <xf numFmtId="0" fontId="86" fillId="0" borderId="30" xfId="9" applyFill="1" applyBorder="1" applyAlignment="1">
      <alignment vertical="center"/>
    </xf>
    <xf numFmtId="0" fontId="86" fillId="0" borderId="26" xfId="9" applyFill="1" applyBorder="1" applyAlignment="1">
      <alignment vertical="center"/>
    </xf>
    <xf numFmtId="0" fontId="86" fillId="0" borderId="21" xfId="9" applyFill="1" applyBorder="1" applyAlignment="1">
      <alignment vertical="center"/>
    </xf>
    <xf numFmtId="0" fontId="86" fillId="0" borderId="31" xfId="9" applyFill="1" applyBorder="1" applyAlignment="1">
      <alignment vertical="center"/>
    </xf>
    <xf numFmtId="49" fontId="67" fillId="0" borderId="24" xfId="34" applyNumberFormat="1" applyFont="1" applyFill="1" applyBorder="1" applyAlignment="1">
      <alignment horizontal="center" vertical="center"/>
    </xf>
    <xf numFmtId="49" fontId="67" fillId="0" borderId="29" xfId="34" applyNumberFormat="1" applyFont="1" applyFill="1" applyBorder="1" applyAlignment="1">
      <alignment horizontal="center" vertical="center"/>
    </xf>
    <xf numFmtId="49" fontId="65" fillId="0" borderId="24" xfId="34" applyNumberFormat="1" applyFont="1" applyFill="1" applyBorder="1" applyAlignment="1">
      <alignment horizontal="center" vertical="center"/>
    </xf>
    <xf numFmtId="49" fontId="65" fillId="0" borderId="29" xfId="34" applyNumberFormat="1" applyFont="1" applyFill="1" applyBorder="1" applyAlignment="1">
      <alignment horizontal="center" vertical="center"/>
    </xf>
    <xf numFmtId="49" fontId="67" fillId="0" borderId="25" xfId="34" applyNumberFormat="1" applyFont="1" applyFill="1" applyBorder="1" applyAlignment="1">
      <alignment horizontal="center" vertical="center"/>
    </xf>
    <xf numFmtId="49" fontId="67" fillId="0" borderId="30" xfId="34" applyNumberFormat="1" applyFont="1" applyFill="1" applyBorder="1" applyAlignment="1">
      <alignment horizontal="center" vertical="center"/>
    </xf>
    <xf numFmtId="49" fontId="65" fillId="0" borderId="25" xfId="34" applyNumberFormat="1" applyFont="1" applyFill="1" applyBorder="1" applyAlignment="1">
      <alignment horizontal="center" vertical="center"/>
    </xf>
    <xf numFmtId="49" fontId="65" fillId="0" borderId="30" xfId="34" applyNumberFormat="1" applyFont="1" applyFill="1" applyBorder="1" applyAlignment="1">
      <alignment horizontal="center" vertical="center"/>
    </xf>
    <xf numFmtId="49" fontId="67" fillId="0" borderId="25" xfId="34" applyNumberFormat="1" applyFont="1" applyFill="1" applyBorder="1" applyAlignment="1">
      <alignment horizontal="center" vertical="top"/>
    </xf>
    <xf numFmtId="49" fontId="67" fillId="0" borderId="30" xfId="34" applyNumberFormat="1" applyFont="1" applyFill="1" applyBorder="1" applyAlignment="1">
      <alignment horizontal="center" vertical="top"/>
    </xf>
    <xf numFmtId="0" fontId="65" fillId="0" borderId="25" xfId="34" applyFont="1" applyFill="1" applyBorder="1" applyAlignment="1">
      <alignment horizontal="left" vertical="top" wrapText="1"/>
    </xf>
    <xf numFmtId="0" fontId="65" fillId="0" borderId="30" xfId="34" applyFont="1" applyFill="1" applyBorder="1" applyAlignment="1">
      <alignment horizontal="left" vertical="top" wrapText="1"/>
    </xf>
    <xf numFmtId="0" fontId="65" fillId="0" borderId="26" xfId="34" applyFont="1" applyFill="1" applyBorder="1" applyAlignment="1">
      <alignment horizontal="left" vertical="top" wrapText="1"/>
    </xf>
    <xf numFmtId="0" fontId="65" fillId="0" borderId="31" xfId="34" applyFont="1" applyFill="1" applyBorder="1" applyAlignment="1">
      <alignment horizontal="left" vertical="top" wrapText="1"/>
    </xf>
    <xf numFmtId="0" fontId="86" fillId="0" borderId="30" xfId="9" applyFill="1" applyBorder="1" applyAlignment="1">
      <alignment horizontal="center"/>
    </xf>
    <xf numFmtId="0" fontId="72" fillId="0" borderId="23" xfId="34" applyFont="1" applyFill="1" applyBorder="1" applyAlignment="1">
      <alignment horizontal="left" vertical="center" wrapText="1"/>
    </xf>
    <xf numFmtId="0" fontId="72" fillId="0" borderId="29" xfId="34" applyFont="1" applyFill="1" applyBorder="1" applyAlignment="1">
      <alignment horizontal="left" vertical="center" wrapText="1"/>
    </xf>
    <xf numFmtId="0" fontId="72" fillId="0" borderId="25" xfId="34" applyFont="1" applyFill="1" applyBorder="1" applyAlignment="1">
      <alignment horizontal="left" vertical="center" wrapText="1"/>
    </xf>
    <xf numFmtId="0" fontId="72" fillId="0" borderId="0" xfId="34" applyFont="1" applyFill="1" applyBorder="1" applyAlignment="1">
      <alignment horizontal="left" vertical="center" wrapText="1"/>
    </xf>
    <xf numFmtId="0" fontId="72" fillId="0" borderId="30" xfId="34" applyFont="1" applyFill="1" applyBorder="1" applyAlignment="1">
      <alignment horizontal="left" vertical="center" wrapText="1"/>
    </xf>
    <xf numFmtId="0" fontId="72" fillId="0" borderId="26" xfId="34" applyFont="1" applyFill="1" applyBorder="1" applyAlignment="1">
      <alignment horizontal="left" vertical="center" wrapText="1"/>
    </xf>
    <xf numFmtId="0" fontId="72" fillId="0" borderId="21" xfId="34" applyFont="1" applyFill="1" applyBorder="1" applyAlignment="1">
      <alignment horizontal="left" vertical="center" wrapText="1"/>
    </xf>
    <xf numFmtId="0" fontId="72" fillId="0" borderId="31" xfId="34" applyFont="1" applyFill="1" applyBorder="1" applyAlignment="1">
      <alignment horizontal="left" vertical="center" wrapText="1"/>
    </xf>
    <xf numFmtId="49" fontId="67" fillId="0" borderId="26" xfId="34" applyNumberFormat="1" applyFont="1" applyFill="1" applyBorder="1" applyAlignment="1">
      <alignment horizontal="center" vertical="center"/>
    </xf>
    <xf numFmtId="49" fontId="67" fillId="0" borderId="31" xfId="34" applyNumberFormat="1" applyFont="1" applyFill="1" applyBorder="1" applyAlignment="1">
      <alignment horizontal="center" vertical="center"/>
    </xf>
    <xf numFmtId="49" fontId="65" fillId="0" borderId="26" xfId="34" applyNumberFormat="1" applyFont="1" applyFill="1" applyBorder="1" applyAlignment="1">
      <alignment horizontal="center" vertical="center"/>
    </xf>
    <xf numFmtId="49" fontId="65" fillId="0" borderId="31" xfId="34" applyNumberFormat="1" applyFont="1" applyFill="1" applyBorder="1" applyAlignment="1">
      <alignment horizontal="center" vertical="center"/>
    </xf>
    <xf numFmtId="49" fontId="66" fillId="0" borderId="25" xfId="34" applyNumberFormat="1" applyFont="1" applyFill="1" applyBorder="1" applyAlignment="1">
      <alignment horizontal="center" vertical="center"/>
    </xf>
    <xf numFmtId="49" fontId="66" fillId="0" borderId="30" xfId="34" applyNumberFormat="1" applyFont="1" applyFill="1" applyBorder="1" applyAlignment="1">
      <alignment horizontal="center" vertical="center"/>
    </xf>
    <xf numFmtId="49" fontId="73" fillId="0" borderId="25" xfId="34" applyNumberFormat="1" applyFont="1" applyFill="1" applyBorder="1" applyAlignment="1">
      <alignment horizontal="center" vertical="center"/>
    </xf>
    <xf numFmtId="49" fontId="73" fillId="0" borderId="30" xfId="34" applyNumberFormat="1" applyFont="1" applyFill="1" applyBorder="1" applyAlignment="1">
      <alignment horizontal="center" vertical="center"/>
    </xf>
    <xf numFmtId="0" fontId="73" fillId="0" borderId="24" xfId="34" applyFont="1" applyFill="1" applyBorder="1" applyAlignment="1">
      <alignment horizontal="left" vertical="top" wrapText="1"/>
    </xf>
    <xf numFmtId="0" fontId="73" fillId="0" borderId="29" xfId="34" applyFont="1" applyFill="1" applyBorder="1" applyAlignment="1">
      <alignment horizontal="left" vertical="top" wrapText="1"/>
    </xf>
    <xf numFmtId="0" fontId="73" fillId="0" borderId="25" xfId="34" applyFont="1" applyFill="1" applyBorder="1" applyAlignment="1">
      <alignment horizontal="left" vertical="top" wrapText="1"/>
    </xf>
    <xf numFmtId="0" fontId="73" fillId="0" borderId="30" xfId="34" applyFont="1" applyFill="1" applyBorder="1" applyAlignment="1">
      <alignment horizontal="left" vertical="top" wrapText="1"/>
    </xf>
    <xf numFmtId="0" fontId="73" fillId="0" borderId="26" xfId="34" applyFont="1" applyFill="1" applyBorder="1" applyAlignment="1">
      <alignment horizontal="left" vertical="top" wrapText="1"/>
    </xf>
    <xf numFmtId="0" fontId="73" fillId="0" borderId="31" xfId="34" applyFont="1" applyFill="1" applyBorder="1" applyAlignment="1">
      <alignment horizontal="left" vertical="top" wrapText="1"/>
    </xf>
    <xf numFmtId="0" fontId="86" fillId="0" borderId="0" xfId="9" applyFill="1" applyAlignment="1">
      <alignment vertical="center"/>
    </xf>
    <xf numFmtId="0" fontId="72" fillId="0" borderId="24" xfId="34" applyFont="1" applyFill="1" applyBorder="1" applyAlignment="1">
      <alignment horizontal="left" vertical="top" wrapText="1"/>
    </xf>
    <xf numFmtId="0" fontId="72" fillId="0" borderId="23" xfId="34" applyFont="1" applyFill="1" applyBorder="1" applyAlignment="1">
      <alignment horizontal="left" vertical="top" wrapText="1"/>
    </xf>
    <xf numFmtId="0" fontId="72" fillId="0" borderId="29" xfId="34" applyFont="1" applyFill="1" applyBorder="1" applyAlignment="1">
      <alignment horizontal="left" vertical="top" wrapText="1"/>
    </xf>
    <xf numFmtId="0" fontId="72" fillId="0" borderId="25" xfId="34" applyFont="1" applyFill="1" applyBorder="1" applyAlignment="1">
      <alignment horizontal="left" vertical="top" wrapText="1"/>
    </xf>
    <xf numFmtId="0" fontId="72" fillId="0" borderId="0" xfId="34" applyFont="1" applyFill="1" applyBorder="1" applyAlignment="1">
      <alignment horizontal="left" vertical="top" wrapText="1"/>
    </xf>
    <xf numFmtId="0" fontId="72" fillId="0" borderId="30" xfId="34" applyFont="1" applyFill="1" applyBorder="1" applyAlignment="1">
      <alignment horizontal="left" vertical="top" wrapText="1"/>
    </xf>
    <xf numFmtId="0" fontId="72" fillId="0" borderId="26" xfId="34" applyFont="1" applyFill="1" applyBorder="1" applyAlignment="1">
      <alignment horizontal="left" vertical="top" wrapText="1"/>
    </xf>
    <xf numFmtId="0" fontId="72" fillId="0" borderId="21" xfId="34" applyFont="1" applyFill="1" applyBorder="1" applyAlignment="1">
      <alignment horizontal="left" vertical="top" wrapText="1"/>
    </xf>
    <xf numFmtId="0" fontId="72" fillId="0" borderId="31" xfId="34" applyFont="1" applyFill="1" applyBorder="1" applyAlignment="1">
      <alignment horizontal="left" vertical="top" wrapText="1"/>
    </xf>
    <xf numFmtId="0" fontId="25" fillId="0" borderId="25" xfId="34" applyFont="1" applyFill="1" applyBorder="1" applyAlignment="1">
      <alignment horizontal="left" vertical="center"/>
    </xf>
    <xf numFmtId="0" fontId="25" fillId="0" borderId="0" xfId="34" applyFont="1" applyFill="1" applyBorder="1" applyAlignment="1">
      <alignment horizontal="left" vertical="center"/>
    </xf>
    <xf numFmtId="0" fontId="25" fillId="0" borderId="30" xfId="34" applyFont="1" applyFill="1" applyBorder="1" applyAlignment="1">
      <alignment horizontal="left" vertical="center"/>
    </xf>
    <xf numFmtId="0" fontId="25" fillId="0" borderId="26" xfId="34" applyFont="1" applyFill="1" applyBorder="1" applyAlignment="1">
      <alignment horizontal="left" vertical="center"/>
    </xf>
    <xf numFmtId="0" fontId="25" fillId="0" borderId="21" xfId="34" applyFont="1" applyFill="1" applyBorder="1" applyAlignment="1">
      <alignment horizontal="left" vertical="center"/>
    </xf>
    <xf numFmtId="0" fontId="25" fillId="0" borderId="31" xfId="34" applyFont="1" applyFill="1" applyBorder="1" applyAlignment="1">
      <alignment horizontal="left" vertical="center"/>
    </xf>
    <xf numFmtId="49" fontId="74" fillId="0" borderId="24" xfId="34" applyNumberFormat="1" applyFont="1" applyFill="1" applyBorder="1" applyAlignment="1">
      <alignment horizontal="left" vertical="center"/>
    </xf>
    <xf numFmtId="49" fontId="74" fillId="0" borderId="23" xfId="34" applyNumberFormat="1" applyFont="1" applyFill="1" applyBorder="1" applyAlignment="1">
      <alignment horizontal="left" vertical="center"/>
    </xf>
    <xf numFmtId="49" fontId="74" fillId="0" borderId="25" xfId="34" applyNumberFormat="1" applyFont="1" applyFill="1" applyBorder="1" applyAlignment="1">
      <alignment horizontal="left" vertical="center"/>
    </xf>
    <xf numFmtId="49" fontId="74" fillId="0" borderId="0" xfId="34" applyNumberFormat="1" applyFont="1" applyFill="1" applyBorder="1" applyAlignment="1">
      <alignment horizontal="left" vertical="center"/>
    </xf>
    <xf numFmtId="49" fontId="74" fillId="0" borderId="26" xfId="34" applyNumberFormat="1" applyFont="1" applyFill="1" applyBorder="1" applyAlignment="1">
      <alignment horizontal="left" vertical="center"/>
    </xf>
    <xf numFmtId="49" fontId="74" fillId="0" borderId="21" xfId="34" applyNumberFormat="1" applyFont="1" applyFill="1" applyBorder="1" applyAlignment="1">
      <alignment horizontal="left" vertical="center"/>
    </xf>
    <xf numFmtId="49" fontId="67" fillId="0" borderId="24" xfId="34" applyNumberFormat="1" applyFont="1" applyFill="1" applyBorder="1" applyAlignment="1">
      <alignment horizontal="center" vertical="top"/>
    </xf>
    <xf numFmtId="49" fontId="67" fillId="0" borderId="29" xfId="34" applyNumberFormat="1" applyFont="1" applyFill="1" applyBorder="1" applyAlignment="1">
      <alignment horizontal="center" vertical="top"/>
    </xf>
    <xf numFmtId="0" fontId="65" fillId="0" borderId="22" xfId="34" applyFont="1" applyFill="1" applyBorder="1" applyAlignment="1">
      <alignment horizontal="left" vertical="top" wrapText="1"/>
    </xf>
    <xf numFmtId="0" fontId="65" fillId="0" borderId="16" xfId="34" applyFont="1" applyFill="1" applyBorder="1" applyAlignment="1">
      <alignment horizontal="left" vertical="top" wrapText="1"/>
    </xf>
    <xf numFmtId="0" fontId="65" fillId="0" borderId="20" xfId="34" applyFont="1" applyFill="1" applyBorder="1" applyAlignment="1">
      <alignment horizontal="left" vertical="top" wrapText="1"/>
    </xf>
    <xf numFmtId="49" fontId="74" fillId="0" borderId="24" xfId="34" applyNumberFormat="1" applyFont="1" applyFill="1" applyBorder="1" applyAlignment="1">
      <alignment horizontal="left" vertical="center" wrapText="1"/>
    </xf>
    <xf numFmtId="49" fontId="74" fillId="0" borderId="23" xfId="34" applyNumberFormat="1" applyFont="1" applyFill="1" applyBorder="1" applyAlignment="1">
      <alignment horizontal="left" vertical="center" wrapText="1"/>
    </xf>
    <xf numFmtId="49" fontId="74" fillId="0" borderId="29" xfId="34" applyNumberFormat="1" applyFont="1" applyFill="1" applyBorder="1" applyAlignment="1">
      <alignment horizontal="left" vertical="center" wrapText="1"/>
    </xf>
    <xf numFmtId="49" fontId="74" fillId="0" borderId="25" xfId="34" applyNumberFormat="1" applyFont="1" applyFill="1" applyBorder="1" applyAlignment="1">
      <alignment horizontal="left" vertical="center" wrapText="1"/>
    </xf>
    <xf numFmtId="49" fontId="74" fillId="0" borderId="0" xfId="34" applyNumberFormat="1" applyFont="1" applyFill="1" applyBorder="1" applyAlignment="1">
      <alignment horizontal="left" vertical="center" wrapText="1"/>
    </xf>
    <xf numFmtId="49" fontId="74" fillId="0" borderId="30" xfId="34" applyNumberFormat="1" applyFont="1" applyFill="1" applyBorder="1" applyAlignment="1">
      <alignment horizontal="left" vertical="center" wrapText="1"/>
    </xf>
    <xf numFmtId="49" fontId="74" fillId="0" borderId="26" xfId="34" applyNumberFormat="1" applyFont="1" applyFill="1" applyBorder="1" applyAlignment="1">
      <alignment horizontal="left" vertical="center" wrapText="1"/>
    </xf>
    <xf numFmtId="49" fontId="74" fillId="0" borderId="21" xfId="34" applyNumberFormat="1" applyFont="1" applyFill="1" applyBorder="1" applyAlignment="1">
      <alignment horizontal="left" vertical="center" wrapText="1"/>
    </xf>
    <xf numFmtId="49" fontId="74" fillId="0" borderId="31" xfId="34" applyNumberFormat="1" applyFont="1" applyFill="1" applyBorder="1" applyAlignment="1">
      <alignment horizontal="left" vertical="center" wrapText="1"/>
    </xf>
    <xf numFmtId="0" fontId="67" fillId="0" borderId="16" xfId="34" applyFont="1" applyFill="1" applyBorder="1" applyAlignment="1">
      <alignment horizontal="left" vertical="top" wrapText="1"/>
    </xf>
    <xf numFmtId="49" fontId="67" fillId="0" borderId="26" xfId="34" applyNumberFormat="1" applyFont="1" applyFill="1" applyBorder="1" applyAlignment="1">
      <alignment horizontal="center" vertical="top"/>
    </xf>
    <xf numFmtId="0" fontId="86" fillId="0" borderId="31" xfId="9" applyFill="1" applyBorder="1" applyAlignment="1">
      <alignment horizontal="center"/>
    </xf>
    <xf numFmtId="0" fontId="86" fillId="0" borderId="30" xfId="9" applyFill="1" applyBorder="1" applyAlignment="1">
      <alignment horizontal="center" vertical="center"/>
    </xf>
    <xf numFmtId="0" fontId="86" fillId="0" borderId="16" xfId="9" applyFill="1" applyBorder="1" applyAlignment="1">
      <alignment horizontal="left" vertical="top" wrapText="1"/>
    </xf>
    <xf numFmtId="0" fontId="86" fillId="0" borderId="20" xfId="9" applyFill="1" applyBorder="1" applyAlignment="1">
      <alignment horizontal="left" vertical="top" wrapText="1"/>
    </xf>
    <xf numFmtId="0" fontId="65" fillId="0" borderId="30" xfId="34" applyFont="1" applyFill="1" applyBorder="1" applyAlignment="1">
      <alignment vertical="top" wrapText="1"/>
    </xf>
    <xf numFmtId="0" fontId="86" fillId="0" borderId="30" xfId="9" applyFill="1" applyBorder="1" applyAlignment="1">
      <alignment vertical="top" wrapText="1"/>
    </xf>
    <xf numFmtId="49" fontId="67" fillId="0" borderId="16" xfId="34" applyNumberFormat="1" applyFont="1" applyFill="1" applyBorder="1" applyAlignment="1">
      <alignment horizontal="center" vertical="top"/>
    </xf>
    <xf numFmtId="0" fontId="86" fillId="0" borderId="16" xfId="9" applyFill="1" applyBorder="1" applyAlignment="1">
      <alignment horizontal="center"/>
    </xf>
    <xf numFmtId="49" fontId="65" fillId="0" borderId="16" xfId="34" applyNumberFormat="1" applyFont="1" applyFill="1" applyBorder="1" applyAlignment="1">
      <alignment horizontal="center" vertical="top"/>
    </xf>
    <xf numFmtId="0" fontId="65" fillId="0" borderId="29" xfId="34" applyFont="1" applyFill="1" applyBorder="1" applyAlignment="1">
      <alignment vertical="top" wrapText="1"/>
    </xf>
    <xf numFmtId="0" fontId="86" fillId="0" borderId="31" xfId="9" applyFill="1" applyBorder="1" applyAlignment="1">
      <alignment vertical="top" wrapText="1"/>
    </xf>
    <xf numFmtId="49" fontId="74" fillId="0" borderId="29" xfId="34" applyNumberFormat="1" applyFont="1" applyFill="1" applyBorder="1" applyAlignment="1">
      <alignment horizontal="left" vertical="center"/>
    </xf>
    <xf numFmtId="49" fontId="74" fillId="0" borderId="30" xfId="34" applyNumberFormat="1" applyFont="1" applyFill="1" applyBorder="1" applyAlignment="1">
      <alignment horizontal="left" vertical="center"/>
    </xf>
    <xf numFmtId="49" fontId="74" fillId="0" borderId="31" xfId="34" applyNumberFormat="1" applyFont="1" applyFill="1" applyBorder="1" applyAlignment="1">
      <alignment horizontal="left" vertical="center"/>
    </xf>
    <xf numFmtId="49" fontId="67" fillId="0" borderId="23" xfId="34" applyNumberFormat="1" applyFont="1" applyFill="1" applyBorder="1" applyAlignment="1">
      <alignment horizontal="center" vertical="center"/>
    </xf>
    <xf numFmtId="49" fontId="68" fillId="0" borderId="25" xfId="34" applyNumberFormat="1" applyFont="1" applyFill="1" applyBorder="1" applyAlignment="1">
      <alignment horizontal="left" vertical="center"/>
    </xf>
    <xf numFmtId="49" fontId="68" fillId="0" borderId="0" xfId="34" applyNumberFormat="1" applyFont="1" applyFill="1" applyBorder="1" applyAlignment="1">
      <alignment horizontal="left" vertical="center"/>
    </xf>
    <xf numFmtId="49" fontId="68" fillId="0" borderId="30" xfId="34" applyNumberFormat="1" applyFont="1" applyFill="1" applyBorder="1" applyAlignment="1">
      <alignment horizontal="left" vertical="center"/>
    </xf>
    <xf numFmtId="49" fontId="68" fillId="0" borderId="26" xfId="34" applyNumberFormat="1" applyFont="1" applyFill="1" applyBorder="1" applyAlignment="1">
      <alignment horizontal="left" vertical="center"/>
    </xf>
    <xf numFmtId="49" fontId="68" fillId="0" borderId="21" xfId="34" applyNumberFormat="1" applyFont="1" applyFill="1" applyBorder="1" applyAlignment="1">
      <alignment horizontal="left" vertical="center"/>
    </xf>
    <xf numFmtId="49" fontId="68" fillId="0" borderId="31" xfId="34" applyNumberFormat="1" applyFont="1" applyFill="1" applyBorder="1" applyAlignment="1">
      <alignment horizontal="left" vertical="center"/>
    </xf>
    <xf numFmtId="0" fontId="67" fillId="0" borderId="29" xfId="34" applyFont="1" applyFill="1" applyBorder="1" applyAlignment="1">
      <alignment horizontal="left" vertical="top" wrapText="1"/>
    </xf>
    <xf numFmtId="0" fontId="86" fillId="0" borderId="31" xfId="9" applyFill="1" applyBorder="1" applyAlignment="1">
      <alignment horizontal="center" vertical="center"/>
    </xf>
    <xf numFmtId="0" fontId="66" fillId="0" borderId="24" xfId="34" applyFont="1" applyFill="1" applyBorder="1" applyAlignment="1">
      <alignment horizontal="left" vertical="top" wrapText="1"/>
    </xf>
    <xf numFmtId="0" fontId="66" fillId="0" borderId="29" xfId="34" applyFont="1" applyFill="1" applyBorder="1" applyAlignment="1">
      <alignment horizontal="left" vertical="top" wrapText="1"/>
    </xf>
    <xf numFmtId="0" fontId="66" fillId="0" borderId="25" xfId="34" applyFont="1" applyFill="1" applyBorder="1" applyAlignment="1">
      <alignment horizontal="left" vertical="top" wrapText="1"/>
    </xf>
    <xf numFmtId="0" fontId="66" fillId="0" borderId="30" xfId="34" applyFont="1" applyFill="1" applyBorder="1" applyAlignment="1">
      <alignment horizontal="left" vertical="top" wrapText="1"/>
    </xf>
    <xf numFmtId="0" fontId="66" fillId="0" borderId="26" xfId="34" applyFont="1" applyFill="1" applyBorder="1" applyAlignment="1">
      <alignment horizontal="left" vertical="top" wrapText="1"/>
    </xf>
    <xf numFmtId="0" fontId="66" fillId="0" borderId="31" xfId="34" applyFont="1" applyFill="1" applyBorder="1" applyAlignment="1">
      <alignment horizontal="left" vertical="top" wrapText="1"/>
    </xf>
    <xf numFmtId="0" fontId="67" fillId="0" borderId="25" xfId="34" applyFont="1" applyFill="1" applyBorder="1" applyAlignment="1">
      <alignment horizontal="left" vertical="top" wrapText="1"/>
    </xf>
    <xf numFmtId="0" fontId="67" fillId="0" borderId="30" xfId="34" applyFont="1" applyFill="1" applyBorder="1" applyAlignment="1">
      <alignment horizontal="left" vertical="top" wrapText="1"/>
    </xf>
    <xf numFmtId="0" fontId="67" fillId="0" borderId="26" xfId="34" applyFont="1" applyFill="1" applyBorder="1" applyAlignment="1">
      <alignment horizontal="left" vertical="top" wrapText="1"/>
    </xf>
    <xf numFmtId="0" fontId="67" fillId="0" borderId="31" xfId="34" applyFont="1" applyFill="1" applyBorder="1" applyAlignment="1">
      <alignment horizontal="left" vertical="top" wrapText="1"/>
    </xf>
    <xf numFmtId="0" fontId="25" fillId="0" borderId="24" xfId="34" applyFont="1" applyFill="1" applyBorder="1" applyAlignment="1">
      <alignment horizontal="left" vertical="center" wrapText="1"/>
    </xf>
    <xf numFmtId="0" fontId="25" fillId="0" borderId="23" xfId="34" applyFont="1" applyFill="1" applyBorder="1" applyAlignment="1">
      <alignment horizontal="left" vertical="center" wrapText="1"/>
    </xf>
    <xf numFmtId="0" fontId="25" fillId="0" borderId="29" xfId="34" applyFont="1" applyFill="1" applyBorder="1" applyAlignment="1">
      <alignment horizontal="left" vertical="center" wrapText="1"/>
    </xf>
    <xf numFmtId="0" fontId="25" fillId="0" borderId="25" xfId="34" applyFont="1" applyFill="1" applyBorder="1" applyAlignment="1">
      <alignment horizontal="left" vertical="center" wrapText="1"/>
    </xf>
    <xf numFmtId="0" fontId="25" fillId="0" borderId="0" xfId="34" applyFont="1" applyFill="1" applyBorder="1" applyAlignment="1">
      <alignment horizontal="left" vertical="center" wrapText="1"/>
    </xf>
    <xf numFmtId="0" fontId="25" fillId="0" borderId="30" xfId="34" applyFont="1" applyFill="1" applyBorder="1" applyAlignment="1">
      <alignment horizontal="left" vertical="center" wrapText="1"/>
    </xf>
    <xf numFmtId="0" fontId="25" fillId="0" borderId="26" xfId="34" applyFont="1" applyFill="1" applyBorder="1" applyAlignment="1">
      <alignment horizontal="left" vertical="center" wrapText="1"/>
    </xf>
    <xf numFmtId="0" fontId="25" fillId="0" borderId="21" xfId="34" applyFont="1" applyFill="1" applyBorder="1" applyAlignment="1">
      <alignment horizontal="left" vertical="center" wrapText="1"/>
    </xf>
    <xf numFmtId="0" fontId="25" fillId="0" borderId="31" xfId="34" applyFont="1" applyFill="1" applyBorder="1" applyAlignment="1">
      <alignment horizontal="left" vertical="center" wrapText="1"/>
    </xf>
    <xf numFmtId="49" fontId="67" fillId="0" borderId="0" xfId="34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" fontId="5" fillId="0" borderId="8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4" fontId="8" fillId="0" borderId="8" xfId="0" applyNumberFormat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4" fontId="24" fillId="0" borderId="8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4" fontId="5" fillId="0" borderId="11" xfId="0" applyNumberFormat="1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wrapText="1"/>
    </xf>
    <xf numFmtId="4" fontId="5" fillId="0" borderId="17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8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wrapText="1"/>
    </xf>
    <xf numFmtId="0" fontId="21" fillId="0" borderId="22" xfId="10" applyFont="1" applyFill="1" applyBorder="1" applyAlignment="1">
      <alignment horizontal="center" vertical="center" wrapText="1"/>
    </xf>
    <xf numFmtId="0" fontId="21" fillId="0" borderId="16" xfId="10" applyFont="1" applyFill="1" applyBorder="1" applyAlignment="1">
      <alignment horizontal="center" vertical="center" wrapText="1"/>
    </xf>
    <xf numFmtId="0" fontId="21" fillId="0" borderId="20" xfId="10" applyFont="1" applyFill="1" applyBorder="1" applyAlignment="1">
      <alignment horizontal="center" vertical="center" wrapText="1"/>
    </xf>
    <xf numFmtId="0" fontId="21" fillId="0" borderId="22" xfId="10" applyFont="1" applyFill="1" applyBorder="1" applyAlignment="1">
      <alignment horizontal="left" vertical="center" wrapText="1"/>
    </xf>
    <xf numFmtId="0" fontId="21" fillId="0" borderId="16" xfId="10" applyFont="1" applyFill="1" applyBorder="1" applyAlignment="1">
      <alignment horizontal="left" vertical="center" wrapText="1"/>
    </xf>
    <xf numFmtId="0" fontId="21" fillId="0" borderId="20" xfId="10" applyFont="1" applyFill="1" applyBorder="1" applyAlignment="1">
      <alignment horizontal="left" vertical="center" wrapText="1"/>
    </xf>
    <xf numFmtId="49" fontId="28" fillId="0" borderId="22" xfId="10" applyNumberFormat="1" applyFont="1" applyFill="1" applyBorder="1" applyAlignment="1">
      <alignment horizontal="center" vertical="center" wrapText="1"/>
    </xf>
    <xf numFmtId="49" fontId="28" fillId="0" borderId="16" xfId="10" applyNumberFormat="1" applyFont="1" applyFill="1" applyBorder="1" applyAlignment="1">
      <alignment horizontal="center" vertical="center" wrapText="1"/>
    </xf>
    <xf numFmtId="49" fontId="28" fillId="0" borderId="20" xfId="10" applyNumberFormat="1" applyFont="1" applyFill="1" applyBorder="1" applyAlignment="1">
      <alignment horizontal="center" vertical="center" wrapText="1"/>
    </xf>
    <xf numFmtId="0" fontId="28" fillId="0" borderId="22" xfId="10" applyFont="1" applyFill="1" applyBorder="1" applyAlignment="1">
      <alignment horizontal="left" vertical="center" wrapText="1"/>
    </xf>
    <xf numFmtId="0" fontId="28" fillId="0" borderId="16" xfId="10" applyFont="1" applyFill="1" applyBorder="1" applyAlignment="1">
      <alignment horizontal="left" vertical="center" wrapText="1"/>
    </xf>
    <xf numFmtId="0" fontId="28" fillId="0" borderId="20" xfId="10" applyFont="1" applyFill="1" applyBorder="1" applyAlignment="1">
      <alignment horizontal="left" vertical="center" wrapText="1"/>
    </xf>
    <xf numFmtId="49" fontId="21" fillId="0" borderId="22" xfId="10" applyNumberFormat="1" applyFont="1" applyFill="1" applyBorder="1" applyAlignment="1">
      <alignment horizontal="center" vertical="center" wrapText="1"/>
    </xf>
    <xf numFmtId="49" fontId="21" fillId="0" borderId="16" xfId="10" applyNumberFormat="1" applyFont="1" applyFill="1" applyBorder="1" applyAlignment="1">
      <alignment horizontal="center" vertical="center" wrapText="1"/>
    </xf>
    <xf numFmtId="49" fontId="21" fillId="0" borderId="20" xfId="10" applyNumberFormat="1" applyFont="1" applyFill="1" applyBorder="1" applyAlignment="1">
      <alignment horizontal="center" vertical="center" wrapText="1"/>
    </xf>
    <xf numFmtId="49" fontId="22" fillId="0" borderId="22" xfId="10" applyNumberFormat="1" applyFont="1" applyFill="1" applyBorder="1" applyAlignment="1">
      <alignment horizontal="center" vertical="center" wrapText="1"/>
    </xf>
    <xf numFmtId="49" fontId="22" fillId="0" borderId="16" xfId="10" applyNumberFormat="1" applyFont="1" applyFill="1" applyBorder="1" applyAlignment="1">
      <alignment horizontal="center" vertical="center" wrapText="1"/>
    </xf>
    <xf numFmtId="49" fontId="22" fillId="0" borderId="20" xfId="10" applyNumberFormat="1" applyFont="1" applyFill="1" applyBorder="1" applyAlignment="1">
      <alignment horizontal="center" vertical="center" wrapText="1"/>
    </xf>
    <xf numFmtId="0" fontId="22" fillId="0" borderId="22" xfId="10" applyFont="1" applyFill="1" applyBorder="1" applyAlignment="1">
      <alignment horizontal="left" vertical="center" wrapText="1"/>
    </xf>
    <xf numFmtId="0" fontId="22" fillId="0" borderId="16" xfId="10" applyFont="1" applyFill="1" applyBorder="1" applyAlignment="1">
      <alignment horizontal="left" vertical="center" wrapText="1"/>
    </xf>
    <xf numFmtId="0" fontId="22" fillId="0" borderId="20" xfId="10" applyFont="1" applyFill="1" applyBorder="1" applyAlignment="1">
      <alignment horizontal="left" vertical="center" wrapText="1"/>
    </xf>
    <xf numFmtId="0" fontId="25" fillId="0" borderId="0" xfId="10" applyFont="1" applyFill="1" applyBorder="1" applyAlignment="1">
      <alignment horizontal="center" vertical="top" wrapText="1"/>
    </xf>
    <xf numFmtId="0" fontId="22" fillId="0" borderId="0" xfId="10" applyFont="1" applyFill="1" applyBorder="1" applyAlignment="1">
      <alignment horizontal="center" vertical="top" wrapText="1"/>
    </xf>
    <xf numFmtId="0" fontId="16" fillId="0" borderId="15" xfId="10" applyFont="1" applyFill="1" applyBorder="1" applyAlignment="1">
      <alignment horizontal="center" vertical="center" wrapText="1"/>
    </xf>
    <xf numFmtId="0" fontId="16" fillId="0" borderId="15" xfId="10" applyFont="1" applyFill="1" applyBorder="1" applyAlignment="1">
      <alignment horizontal="left" vertical="center" wrapText="1"/>
    </xf>
    <xf numFmtId="0" fontId="16" fillId="0" borderId="22" xfId="10" applyFont="1" applyFill="1" applyBorder="1" applyAlignment="1">
      <alignment horizontal="center" vertical="center" wrapText="1"/>
    </xf>
    <xf numFmtId="0" fontId="16" fillId="0" borderId="20" xfId="10" applyFont="1" applyFill="1" applyBorder="1" applyAlignment="1">
      <alignment horizontal="center" vertical="center" wrapText="1"/>
    </xf>
    <xf numFmtId="3" fontId="13" fillId="0" borderId="0" xfId="34" applyNumberFormat="1" applyFont="1" applyFill="1" applyAlignment="1" applyProtection="1">
      <alignment horizontal="left"/>
    </xf>
    <xf numFmtId="3" fontId="13" fillId="0" borderId="0" xfId="34" applyNumberFormat="1" applyFont="1" applyFill="1" applyAlignment="1" applyProtection="1">
      <alignment horizontal="left" wrapText="1"/>
    </xf>
    <xf numFmtId="0" fontId="13" fillId="0" borderId="0" xfId="34" applyNumberFormat="1" applyFont="1" applyFill="1" applyAlignment="1" applyProtection="1">
      <alignment horizontal="justify" wrapText="1"/>
    </xf>
    <xf numFmtId="0" fontId="16" fillId="0" borderId="22" xfId="34" applyFont="1" applyFill="1" applyBorder="1" applyAlignment="1">
      <alignment horizontal="center" vertical="top"/>
    </xf>
    <xf numFmtId="0" fontId="16" fillId="0" borderId="20" xfId="34" applyFont="1" applyFill="1" applyBorder="1" applyAlignment="1">
      <alignment horizontal="center" vertical="top"/>
    </xf>
    <xf numFmtId="0" fontId="16" fillId="0" borderId="28" xfId="34" applyFont="1" applyFill="1" applyBorder="1" applyAlignment="1">
      <alignment horizontal="center" vertical="top" wrapText="1"/>
    </xf>
    <xf numFmtId="0" fontId="16" fillId="0" borderId="27" xfId="34" applyFont="1" applyFill="1" applyBorder="1" applyAlignment="1">
      <alignment horizontal="center" vertical="top" wrapText="1"/>
    </xf>
    <xf numFmtId="0" fontId="16" fillId="0" borderId="22" xfId="34" applyFont="1" applyFill="1" applyBorder="1" applyAlignment="1">
      <alignment horizontal="center" vertical="center" wrapText="1"/>
    </xf>
    <xf numFmtId="0" fontId="16" fillId="0" borderId="20" xfId="34" applyFont="1" applyFill="1" applyBorder="1" applyAlignment="1">
      <alignment horizontal="center" vertical="center" wrapText="1"/>
    </xf>
    <xf numFmtId="3" fontId="16" fillId="0" borderId="22" xfId="34" applyNumberFormat="1" applyFont="1" applyFill="1" applyBorder="1" applyAlignment="1">
      <alignment horizontal="center" vertical="top" wrapText="1"/>
    </xf>
    <xf numFmtId="3" fontId="16" fillId="0" borderId="20" xfId="34" applyNumberFormat="1" applyFont="1" applyFill="1" applyBorder="1" applyAlignment="1">
      <alignment horizontal="center" vertical="top" wrapText="1"/>
    </xf>
    <xf numFmtId="0" fontId="16" fillId="0" borderId="22" xfId="34" applyFont="1" applyFill="1" applyBorder="1" applyAlignment="1">
      <alignment horizontal="center" vertical="top" wrapText="1"/>
    </xf>
    <xf numFmtId="0" fontId="16" fillId="0" borderId="20" xfId="34" applyFont="1" applyFill="1" applyBorder="1" applyAlignment="1">
      <alignment horizontal="center" vertical="top" wrapText="1"/>
    </xf>
    <xf numFmtId="0" fontId="15" fillId="0" borderId="24" xfId="34" applyFont="1" applyFill="1" applyBorder="1" applyAlignment="1">
      <alignment horizontal="center" vertical="center" wrapText="1"/>
    </xf>
    <xf numFmtId="0" fontId="15" fillId="0" borderId="23" xfId="34" applyFont="1" applyFill="1" applyBorder="1" applyAlignment="1">
      <alignment horizontal="center" vertical="center" wrapText="1"/>
    </xf>
    <xf numFmtId="0" fontId="15" fillId="0" borderId="29" xfId="34" applyFont="1" applyFill="1" applyBorder="1" applyAlignment="1">
      <alignment horizontal="center" vertical="center" wrapText="1"/>
    </xf>
    <xf numFmtId="0" fontId="15" fillId="0" borderId="25" xfId="34" applyFont="1" applyFill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15" fillId="0" borderId="30" xfId="34" applyFont="1" applyFill="1" applyBorder="1" applyAlignment="1">
      <alignment horizontal="center" vertical="center" wrapText="1"/>
    </xf>
    <xf numFmtId="0" fontId="15" fillId="0" borderId="26" xfId="34" applyFont="1" applyFill="1" applyBorder="1" applyAlignment="1">
      <alignment horizontal="center" vertical="center" wrapText="1"/>
    </xf>
    <xf numFmtId="0" fontId="15" fillId="0" borderId="21" xfId="34" applyFont="1" applyFill="1" applyBorder="1" applyAlignment="1">
      <alignment horizontal="center" vertical="center" wrapText="1"/>
    </xf>
    <xf numFmtId="0" fontId="15" fillId="0" borderId="31" xfId="34" applyFont="1" applyFill="1" applyBorder="1" applyAlignment="1">
      <alignment horizontal="center" vertical="center" wrapText="1"/>
    </xf>
    <xf numFmtId="0" fontId="13" fillId="0" borderId="22" xfId="34" applyFont="1" applyFill="1" applyBorder="1" applyAlignment="1">
      <alignment horizontal="center" vertical="top" wrapText="1"/>
    </xf>
    <xf numFmtId="0" fontId="13" fillId="0" borderId="16" xfId="34" applyFont="1" applyFill="1" applyBorder="1" applyAlignment="1">
      <alignment horizontal="center" vertical="top" wrapText="1"/>
    </xf>
    <xf numFmtId="0" fontId="13" fillId="0" borderId="20" xfId="34" applyFont="1" applyFill="1" applyBorder="1" applyAlignment="1">
      <alignment horizontal="center" vertical="top" wrapText="1"/>
    </xf>
    <xf numFmtId="0" fontId="13" fillId="0" borderId="22" xfId="34" applyFont="1" applyFill="1" applyBorder="1" applyAlignment="1">
      <alignment horizontal="justify" vertical="top" wrapText="1"/>
    </xf>
    <xf numFmtId="0" fontId="13" fillId="0" borderId="16" xfId="34" applyFont="1" applyFill="1" applyBorder="1" applyAlignment="1">
      <alignment horizontal="justify" vertical="top" wrapText="1"/>
    </xf>
    <xf numFmtId="0" fontId="13" fillId="0" borderId="20" xfId="34" applyFont="1" applyFill="1" applyBorder="1" applyAlignment="1">
      <alignment horizontal="justify" vertical="top" wrapText="1"/>
    </xf>
    <xf numFmtId="0" fontId="13" fillId="0" borderId="22" xfId="34" applyFont="1" applyFill="1" applyBorder="1" applyAlignment="1">
      <alignment horizontal="left" vertical="top" wrapText="1"/>
    </xf>
    <xf numFmtId="0" fontId="13" fillId="0" borderId="16" xfId="34" applyFont="1" applyFill="1" applyBorder="1" applyAlignment="1">
      <alignment horizontal="left" vertical="top" wrapText="1"/>
    </xf>
    <xf numFmtId="0" fontId="13" fillId="0" borderId="20" xfId="34" applyFont="1" applyFill="1" applyBorder="1" applyAlignment="1">
      <alignment horizontal="left" vertical="top" wrapText="1"/>
    </xf>
    <xf numFmtId="0" fontId="13" fillId="0" borderId="22" xfId="34" applyFont="1" applyFill="1" applyBorder="1" applyAlignment="1">
      <alignment vertical="top" wrapText="1"/>
    </xf>
    <xf numFmtId="0" fontId="86" fillId="0" borderId="16" xfId="9" applyFill="1" applyBorder="1" applyAlignment="1">
      <alignment vertical="top" wrapText="1"/>
    </xf>
    <xf numFmtId="0" fontId="86" fillId="0" borderId="20" xfId="9" applyFill="1" applyBorder="1" applyAlignment="1">
      <alignment vertical="top" wrapText="1"/>
    </xf>
    <xf numFmtId="0" fontId="86" fillId="0" borderId="16" xfId="9" applyFill="1" applyBorder="1" applyAlignment="1">
      <alignment horizontal="justify" vertical="top" wrapText="1"/>
    </xf>
    <xf numFmtId="0" fontId="86" fillId="0" borderId="20" xfId="9" applyFill="1" applyBorder="1" applyAlignment="1">
      <alignment horizontal="justify" vertical="top" wrapText="1"/>
    </xf>
    <xf numFmtId="0" fontId="15" fillId="0" borderId="28" xfId="34" applyFont="1" applyFill="1" applyBorder="1" applyAlignment="1">
      <alignment horizontal="center" vertical="center" wrapText="1"/>
    </xf>
    <xf numFmtId="0" fontId="15" fillId="0" borderId="18" xfId="34" applyFont="1" applyFill="1" applyBorder="1" applyAlignment="1">
      <alignment horizontal="center" vertical="center" wrapText="1"/>
    </xf>
    <xf numFmtId="0" fontId="15" fillId="0" borderId="27" xfId="34" applyFont="1" applyFill="1" applyBorder="1" applyAlignment="1">
      <alignment horizontal="center" vertical="center" wrapText="1"/>
    </xf>
    <xf numFmtId="49" fontId="22" fillId="0" borderId="22" xfId="34" applyNumberFormat="1" applyFont="1" applyFill="1" applyBorder="1" applyAlignment="1">
      <alignment horizontal="center" vertical="top"/>
    </xf>
    <xf numFmtId="0" fontId="86" fillId="0" borderId="16" xfId="9" applyFill="1" applyBorder="1" applyAlignment="1">
      <alignment horizontal="center" vertical="top"/>
    </xf>
    <xf numFmtId="0" fontId="22" fillId="0" borderId="22" xfId="34" applyFont="1" applyFill="1" applyBorder="1" applyAlignment="1">
      <alignment horizontal="left" vertical="top" wrapText="1"/>
    </xf>
    <xf numFmtId="0" fontId="22" fillId="0" borderId="16" xfId="34" applyFont="1" applyFill="1" applyBorder="1" applyAlignment="1">
      <alignment horizontal="left" vertical="top" wrapText="1"/>
    </xf>
    <xf numFmtId="0" fontId="22" fillId="0" borderId="20" xfId="34" applyFont="1" applyFill="1" applyBorder="1" applyAlignment="1">
      <alignment horizontal="left" vertical="top" wrapText="1"/>
    </xf>
    <xf numFmtId="0" fontId="22" fillId="0" borderId="22" xfId="34" applyFont="1" applyFill="1" applyBorder="1" applyAlignment="1">
      <alignment horizontal="justify" vertical="top" wrapText="1"/>
    </xf>
    <xf numFmtId="49" fontId="22" fillId="0" borderId="16" xfId="34" applyNumberFormat="1" applyFont="1" applyFill="1" applyBorder="1" applyAlignment="1">
      <alignment horizontal="center" vertical="top"/>
    </xf>
    <xf numFmtId="0" fontId="86" fillId="0" borderId="20" xfId="9" applyFill="1" applyBorder="1" applyAlignment="1">
      <alignment horizontal="center" vertical="top"/>
    </xf>
    <xf numFmtId="0" fontId="22" fillId="0" borderId="22" xfId="38" applyNumberFormat="1" applyFont="1" applyFill="1" applyBorder="1" applyAlignment="1">
      <alignment horizontal="center" vertical="top"/>
    </xf>
    <xf numFmtId="1" fontId="22" fillId="0" borderId="22" xfId="38" applyNumberFormat="1" applyFont="1" applyFill="1" applyBorder="1" applyAlignment="1">
      <alignment horizontal="center" vertical="top"/>
    </xf>
    <xf numFmtId="9" fontId="22" fillId="0" borderId="22" xfId="38" applyFont="1" applyFill="1" applyBorder="1" applyAlignment="1">
      <alignment horizontal="left" vertical="top" wrapText="1"/>
    </xf>
    <xf numFmtId="9" fontId="22" fillId="0" borderId="16" xfId="38" applyFont="1" applyFill="1" applyBorder="1" applyAlignment="1">
      <alignment horizontal="left" vertical="top" wrapText="1"/>
    </xf>
    <xf numFmtId="9" fontId="22" fillId="0" borderId="20" xfId="38" applyFont="1" applyFill="1" applyBorder="1" applyAlignment="1">
      <alignment horizontal="left" vertical="top" wrapText="1"/>
    </xf>
    <xf numFmtId="9" fontId="22" fillId="0" borderId="22" xfId="38" applyFont="1" applyFill="1" applyBorder="1" applyAlignment="1">
      <alignment horizontal="justify" vertical="top" wrapText="1"/>
    </xf>
    <xf numFmtId="9" fontId="22" fillId="0" borderId="16" xfId="38" applyFont="1" applyFill="1" applyBorder="1" applyAlignment="1">
      <alignment horizontal="justify" vertical="top" wrapText="1"/>
    </xf>
    <xf numFmtId="9" fontId="22" fillId="0" borderId="20" xfId="38" applyFont="1" applyFill="1" applyBorder="1" applyAlignment="1">
      <alignment horizontal="justify" vertical="top" wrapText="1"/>
    </xf>
    <xf numFmtId="0" fontId="22" fillId="0" borderId="16" xfId="38" applyNumberFormat="1" applyFont="1" applyFill="1" applyBorder="1" applyAlignment="1">
      <alignment horizontal="center" vertical="top"/>
    </xf>
    <xf numFmtId="1" fontId="22" fillId="0" borderId="16" xfId="38" applyNumberFormat="1" applyFont="1" applyFill="1" applyBorder="1" applyAlignment="1">
      <alignment horizontal="center" vertical="top"/>
    </xf>
    <xf numFmtId="0" fontId="22" fillId="0" borderId="16" xfId="38" applyNumberFormat="1" applyFont="1" applyFill="1" applyBorder="1" applyAlignment="1" applyProtection="1">
      <alignment horizontal="center" vertical="top"/>
    </xf>
    <xf numFmtId="0" fontId="86" fillId="0" borderId="16" xfId="9" applyNumberFormat="1" applyFill="1" applyBorder="1" applyAlignment="1" applyProtection="1">
      <alignment horizontal="center" vertical="top"/>
    </xf>
    <xf numFmtId="9" fontId="22" fillId="0" borderId="22" xfId="38" applyFont="1" applyFill="1" applyBorder="1" applyAlignment="1" applyProtection="1">
      <alignment vertical="top" wrapText="1"/>
    </xf>
    <xf numFmtId="0" fontId="86" fillId="0" borderId="16" xfId="9" applyFill="1" applyBorder="1" applyAlignment="1" applyProtection="1">
      <alignment vertical="top" wrapText="1"/>
    </xf>
    <xf numFmtId="0" fontId="86" fillId="0" borderId="20" xfId="9" applyFill="1" applyBorder="1" applyAlignment="1" applyProtection="1">
      <alignment vertical="top" wrapText="1"/>
    </xf>
    <xf numFmtId="9" fontId="22" fillId="0" borderId="22" xfId="38" applyFont="1" applyFill="1" applyBorder="1" applyAlignment="1" applyProtection="1">
      <alignment horizontal="justify" vertical="top" wrapText="1"/>
    </xf>
    <xf numFmtId="0" fontId="86" fillId="0" borderId="16" xfId="9" applyFill="1" applyBorder="1" applyAlignment="1" applyProtection="1">
      <alignment horizontal="justify" vertical="top" wrapText="1"/>
    </xf>
    <xf numFmtId="0" fontId="86" fillId="0" borderId="20" xfId="9" applyFill="1" applyBorder="1" applyAlignment="1" applyProtection="1">
      <alignment horizontal="justify" vertical="top" wrapText="1"/>
    </xf>
    <xf numFmtId="49" fontId="22" fillId="0" borderId="16" xfId="34" applyNumberFormat="1" applyFont="1" applyFill="1" applyBorder="1" applyAlignment="1" applyProtection="1">
      <alignment horizontal="center" vertical="top"/>
    </xf>
    <xf numFmtId="0" fontId="86" fillId="0" borderId="16" xfId="9" applyFill="1" applyBorder="1" applyAlignment="1" applyProtection="1">
      <alignment horizontal="center" vertical="top"/>
    </xf>
    <xf numFmtId="0" fontId="22" fillId="0" borderId="22" xfId="34" applyFont="1" applyFill="1" applyBorder="1" applyAlignment="1" applyProtection="1">
      <alignment vertical="top" wrapText="1"/>
    </xf>
    <xf numFmtId="0" fontId="22" fillId="0" borderId="22" xfId="34" applyFont="1" applyFill="1" applyBorder="1" applyAlignment="1" applyProtection="1">
      <alignment horizontal="justify" vertical="top" wrapText="1"/>
    </xf>
    <xf numFmtId="0" fontId="22" fillId="0" borderId="22" xfId="34" applyFont="1" applyFill="1" applyBorder="1" applyAlignment="1" applyProtection="1">
      <alignment horizontal="left" vertical="top" wrapText="1"/>
    </xf>
    <xf numFmtId="0" fontId="22" fillId="0" borderId="16" xfId="34" applyFont="1" applyFill="1" applyBorder="1" applyAlignment="1" applyProtection="1">
      <alignment horizontal="left" vertical="top" wrapText="1"/>
    </xf>
    <xf numFmtId="0" fontId="22" fillId="0" borderId="20" xfId="34" applyFont="1" applyFill="1" applyBorder="1" applyAlignment="1" applyProtection="1">
      <alignment horizontal="left" vertical="top" wrapText="1"/>
    </xf>
    <xf numFmtId="0" fontId="22" fillId="0" borderId="16" xfId="34" applyFont="1" applyFill="1" applyBorder="1" applyAlignment="1" applyProtection="1">
      <alignment horizontal="justify" vertical="top" wrapText="1"/>
    </xf>
    <xf numFmtId="0" fontId="22" fillId="0" borderId="20" xfId="34" applyFont="1" applyFill="1" applyBorder="1" applyAlignment="1" applyProtection="1">
      <alignment horizontal="justify" vertical="top" wrapText="1"/>
    </xf>
    <xf numFmtId="9" fontId="22" fillId="0" borderId="16" xfId="38" applyFont="1" applyFill="1" applyBorder="1" applyAlignment="1">
      <alignment horizontal="center" vertical="top"/>
    </xf>
    <xf numFmtId="0" fontId="86" fillId="0" borderId="20" xfId="9" applyFill="1" applyBorder="1" applyAlignment="1" applyProtection="1">
      <alignment horizontal="center" vertical="top"/>
    </xf>
    <xf numFmtId="49" fontId="22" fillId="0" borderId="20" xfId="34" applyNumberFormat="1" applyFont="1" applyFill="1" applyBorder="1" applyAlignment="1">
      <alignment horizontal="center" vertical="top"/>
    </xf>
    <xf numFmtId="0" fontId="22" fillId="0" borderId="16" xfId="34" applyFont="1" applyFill="1" applyBorder="1" applyAlignment="1">
      <alignment horizontal="justify" vertical="top" wrapText="1"/>
    </xf>
    <xf numFmtId="0" fontId="22" fillId="0" borderId="20" xfId="34" applyFont="1" applyFill="1" applyBorder="1" applyAlignment="1">
      <alignment horizontal="justify" vertical="top" wrapText="1"/>
    </xf>
    <xf numFmtId="49" fontId="22" fillId="0" borderId="20" xfId="34" applyNumberFormat="1" applyFont="1" applyFill="1" applyBorder="1" applyAlignment="1" applyProtection="1">
      <alignment horizontal="center" vertical="top"/>
    </xf>
    <xf numFmtId="49" fontId="22" fillId="0" borderId="22" xfId="34" applyNumberFormat="1" applyFont="1" applyFill="1" applyBorder="1" applyAlignment="1" applyProtection="1">
      <alignment horizontal="center" vertical="top"/>
    </xf>
    <xf numFmtId="49" fontId="22" fillId="0" borderId="22" xfId="34" applyNumberFormat="1" applyFont="1" applyFill="1" applyBorder="1" applyAlignment="1">
      <alignment horizontal="center" vertical="top" wrapText="1"/>
    </xf>
    <xf numFmtId="49" fontId="22" fillId="0" borderId="16" xfId="34" applyNumberFormat="1" applyFont="1" applyFill="1" applyBorder="1" applyAlignment="1">
      <alignment horizontal="center" vertical="top" wrapText="1"/>
    </xf>
    <xf numFmtId="49" fontId="22" fillId="0" borderId="20" xfId="34" applyNumberFormat="1" applyFont="1" applyFill="1" applyBorder="1" applyAlignment="1">
      <alignment horizontal="center" vertical="top" wrapText="1"/>
    </xf>
    <xf numFmtId="0" fontId="22" fillId="0" borderId="22" xfId="34" applyFont="1" applyFill="1" applyBorder="1" applyAlignment="1">
      <alignment vertical="top" wrapText="1"/>
    </xf>
    <xf numFmtId="49" fontId="22" fillId="0" borderId="16" xfId="34" applyNumberFormat="1" applyFont="1" applyFill="1" applyBorder="1" applyAlignment="1" applyProtection="1">
      <alignment horizontal="center" vertical="top" wrapText="1"/>
    </xf>
    <xf numFmtId="0" fontId="6" fillId="0" borderId="0" xfId="15" applyFont="1" applyFill="1" applyAlignment="1">
      <alignment horizontal="justify" vertical="center" wrapText="1"/>
    </xf>
    <xf numFmtId="0" fontId="50" fillId="0" borderId="22" xfId="27" applyFont="1" applyFill="1" applyBorder="1" applyAlignment="1">
      <alignment horizontal="center" vertical="top"/>
    </xf>
    <xf numFmtId="0" fontId="50" fillId="0" borderId="16" xfId="27" applyFont="1" applyFill="1" applyBorder="1" applyAlignment="1">
      <alignment horizontal="center" vertical="top"/>
    </xf>
    <xf numFmtId="0" fontId="50" fillId="0" borderId="20" xfId="27" applyFont="1" applyFill="1" applyBorder="1" applyAlignment="1">
      <alignment horizontal="center" vertical="top"/>
    </xf>
    <xf numFmtId="0" fontId="50" fillId="0" borderId="24" xfId="27" applyFont="1" applyFill="1" applyBorder="1" applyAlignment="1">
      <alignment horizontal="left" vertical="top" wrapText="1"/>
    </xf>
    <xf numFmtId="0" fontId="50" fillId="0" borderId="25" xfId="27" applyFont="1" applyFill="1" applyBorder="1" applyAlignment="1">
      <alignment horizontal="left" vertical="top" wrapText="1"/>
    </xf>
    <xf numFmtId="0" fontId="50" fillId="0" borderId="26" xfId="27" applyFont="1" applyFill="1" applyBorder="1" applyAlignment="1">
      <alignment horizontal="left" vertical="top" wrapText="1"/>
    </xf>
    <xf numFmtId="0" fontId="81" fillId="0" borderId="22" xfId="27" applyFont="1" applyFill="1" applyBorder="1" applyAlignment="1">
      <alignment horizontal="center" vertical="center" wrapText="1"/>
    </xf>
    <xf numFmtId="0" fontId="81" fillId="0" borderId="16" xfId="27" applyFont="1" applyFill="1" applyBorder="1" applyAlignment="1">
      <alignment horizontal="center" vertical="center" wrapText="1"/>
    </xf>
    <xf numFmtId="0" fontId="81" fillId="0" borderId="20" xfId="27" applyFont="1" applyFill="1" applyBorder="1" applyAlignment="1">
      <alignment horizontal="center" vertical="center" wrapText="1"/>
    </xf>
    <xf numFmtId="0" fontId="12" fillId="0" borderId="16" xfId="27" applyFont="1" applyFill="1" applyBorder="1" applyAlignment="1">
      <alignment horizontal="center" vertical="top"/>
    </xf>
    <xf numFmtId="0" fontId="12" fillId="0" borderId="16" xfId="27" applyFont="1" applyFill="1" applyBorder="1" applyAlignment="1">
      <alignment horizontal="left" vertical="top" wrapText="1"/>
    </xf>
    <xf numFmtId="0" fontId="35" fillId="0" borderId="22" xfId="27" applyFont="1" applyFill="1" applyBorder="1" applyAlignment="1">
      <alignment horizontal="center" vertical="center" wrapText="1"/>
    </xf>
    <xf numFmtId="0" fontId="35" fillId="0" borderId="16" xfId="27" applyFont="1" applyFill="1" applyBorder="1" applyAlignment="1">
      <alignment horizontal="center" vertical="center" wrapText="1"/>
    </xf>
    <xf numFmtId="0" fontId="35" fillId="0" borderId="20" xfId="27" applyFont="1" applyFill="1" applyBorder="1" applyAlignment="1">
      <alignment horizontal="center" vertical="center" wrapText="1"/>
    </xf>
    <xf numFmtId="0" fontId="12" fillId="0" borderId="20" xfId="27" applyFont="1" applyFill="1" applyBorder="1" applyAlignment="1">
      <alignment horizontal="center" vertical="top"/>
    </xf>
    <xf numFmtId="0" fontId="12" fillId="0" borderId="20" xfId="27" applyFont="1" applyFill="1" applyBorder="1" applyAlignment="1">
      <alignment horizontal="left" vertical="top" wrapText="1"/>
    </xf>
    <xf numFmtId="0" fontId="6" fillId="0" borderId="22" xfId="27" applyFont="1" applyFill="1" applyBorder="1" applyAlignment="1">
      <alignment horizontal="center" vertical="center" wrapText="1"/>
    </xf>
    <xf numFmtId="0" fontId="6" fillId="0" borderId="16" xfId="27" applyFont="1" applyFill="1" applyBorder="1" applyAlignment="1">
      <alignment horizontal="center" vertical="center" wrapText="1"/>
    </xf>
    <xf numFmtId="0" fontId="6" fillId="0" borderId="20" xfId="27" applyFont="1" applyFill="1" applyBorder="1" applyAlignment="1">
      <alignment horizontal="center" vertical="center" wrapText="1"/>
    </xf>
    <xf numFmtId="0" fontId="50" fillId="0" borderId="22" xfId="27" applyFont="1" applyFill="1" applyBorder="1" applyAlignment="1">
      <alignment horizontal="left" vertical="top" wrapText="1"/>
    </xf>
    <xf numFmtId="0" fontId="50" fillId="0" borderId="16" xfId="27" applyFont="1" applyFill="1" applyBorder="1" applyAlignment="1">
      <alignment horizontal="left" vertical="top" wrapText="1"/>
    </xf>
    <xf numFmtId="0" fontId="42" fillId="0" borderId="15" xfId="15" applyFont="1" applyFill="1" applyBorder="1" applyAlignment="1">
      <alignment horizontal="center" vertical="center"/>
    </xf>
    <xf numFmtId="0" fontId="42" fillId="0" borderId="15" xfId="15" applyFont="1" applyFill="1" applyBorder="1" applyAlignment="1">
      <alignment horizontal="left" vertical="center" wrapText="1"/>
    </xf>
    <xf numFmtId="0" fontId="42" fillId="0" borderId="15" xfId="15" applyFont="1" applyFill="1" applyBorder="1" applyAlignment="1">
      <alignment horizontal="center" vertical="center" wrapText="1"/>
    </xf>
  </cellXfs>
  <cellStyles count="40">
    <cellStyle name="Dziesiętny 2" xfId="1"/>
    <cellStyle name="Dziesiętny 2 2" xfId="2"/>
    <cellStyle name="Dziesiętny 3" xfId="3"/>
    <cellStyle name="Dziesiętny 4" xfId="4"/>
    <cellStyle name="Normalny" xfId="0" builtinId="0"/>
    <cellStyle name="Normalny 10" xfId="5"/>
    <cellStyle name="Normalny 10 2" xfId="6"/>
    <cellStyle name="Normalny 10 3" xfId="7"/>
    <cellStyle name="Normalny 11" xfId="8"/>
    <cellStyle name="Normalny 11 2" xfId="9"/>
    <cellStyle name="Normalny 12" xfId="10"/>
    <cellStyle name="Normalny 13" xfId="11"/>
    <cellStyle name="Normalny 2" xfId="12"/>
    <cellStyle name="Normalny 2 2" xfId="13"/>
    <cellStyle name="Normalny 2 2 2" xfId="14"/>
    <cellStyle name="Normalny 2 3" xfId="15"/>
    <cellStyle name="Normalny 2_RDW" xfId="16"/>
    <cellStyle name="Normalny 3" xfId="17"/>
    <cellStyle name="Normalny 4" xfId="18"/>
    <cellStyle name="Normalny 4 2" xfId="19"/>
    <cellStyle name="Normalny 5" xfId="20"/>
    <cellStyle name="Normalny 6" xfId="21"/>
    <cellStyle name="Normalny 7" xfId="22"/>
    <cellStyle name="Normalny 8" xfId="23"/>
    <cellStyle name="Normalny 9" xfId="24"/>
    <cellStyle name="Normalny_IZ 2011" xfId="25"/>
    <cellStyle name="Normalny_rachunek doch wł 2006" xfId="26"/>
    <cellStyle name="Normalny_RDW 2014" xfId="27"/>
    <cellStyle name="Normalny_RPO 2011" xfId="28"/>
    <cellStyle name="Normalny_Załącznik  nr 7  RPO na 2010" xfId="29"/>
    <cellStyle name="Normalny_załącznik nr 1" xfId="30"/>
    <cellStyle name="Normalny_Załącznik nr 3  do proj. budżetu na 2006r._Zał. Nr 3 i Nr 21 do proj.budż.po Autopoprawce" xfId="31"/>
    <cellStyle name="Normalny_Załącznik nr 3  do proj. budżetu na 2006r._Załączniki Nr 3 do US z dnia 22.12.2008 r." xfId="32"/>
    <cellStyle name="Normalny_Załącznik nr 9  PROW na 2010" xfId="33"/>
    <cellStyle name="Normalny_Załączniki do  budżetu na 2005 r" xfId="34"/>
    <cellStyle name="Normalny_Załączniki do budżetu na 2006 r._Zał. Nr 3 i Nr 21 do proj.budż.po Autopoprawce" xfId="35"/>
    <cellStyle name="Normalny_Załączniki do projektu budżetu na 2009 r." xfId="36"/>
    <cellStyle name="Procentowy 2" xfId="37"/>
    <cellStyle name="Procentowy 2 2" xfId="38"/>
    <cellStyle name="Styl 1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5"/>
  <sheetViews>
    <sheetView view="pageBreakPreview" zoomScaleNormal="100" zoomScaleSheetLayoutView="100" workbookViewId="0">
      <selection activeCell="D77" sqref="D77"/>
    </sheetView>
  </sheetViews>
  <sheetFormatPr defaultColWidth="8" defaultRowHeight="12.75"/>
  <cols>
    <col min="1" max="1" width="5" style="397" customWidth="1"/>
    <col min="2" max="2" width="27.625" style="398" customWidth="1"/>
    <col min="3" max="3" width="3.125" style="398" customWidth="1"/>
    <col min="4" max="4" width="14.625" style="499" customWidth="1"/>
    <col min="5" max="6" width="13.125" style="400" customWidth="1"/>
    <col min="7" max="7" width="14.125" style="400" customWidth="1"/>
    <col min="8" max="11" width="13.125" style="400" customWidth="1"/>
    <col min="12" max="12" width="11.375" style="400" customWidth="1"/>
    <col min="13" max="13" width="10" style="400" customWidth="1"/>
    <col min="14" max="14" width="12.625" style="400" customWidth="1"/>
    <col min="15" max="15" width="12.75" style="400" customWidth="1"/>
    <col min="16" max="16" width="12.5" style="400" customWidth="1"/>
    <col min="17" max="17" width="11.375" style="400" customWidth="1"/>
    <col min="18" max="18" width="11.75" style="400" customWidth="1"/>
    <col min="19" max="19" width="13.125" style="400" customWidth="1"/>
    <col min="20" max="16384" width="8" style="400"/>
  </cols>
  <sheetData>
    <row r="1" spans="1:22" ht="17.25" customHeight="1">
      <c r="D1" s="399"/>
      <c r="N1" s="400" t="s">
        <v>540</v>
      </c>
    </row>
    <row r="2" spans="1:22">
      <c r="D2" s="399"/>
      <c r="N2" s="401" t="s">
        <v>582</v>
      </c>
    </row>
    <row r="3" spans="1:22" ht="12" customHeight="1">
      <c r="D3" s="399"/>
      <c r="N3" s="401" t="s">
        <v>583</v>
      </c>
    </row>
    <row r="4" spans="1:22" ht="11.25" customHeight="1">
      <c r="A4" s="1013"/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</row>
    <row r="5" spans="1:22" ht="27" customHeight="1">
      <c r="A5" s="1014" t="s">
        <v>541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402"/>
      <c r="S5" s="402"/>
      <c r="T5" s="402"/>
      <c r="U5" s="402"/>
      <c r="V5" s="402"/>
    </row>
    <row r="6" spans="1:22" ht="15" customHeight="1">
      <c r="D6" s="399"/>
      <c r="G6" s="403"/>
      <c r="H6" s="403"/>
      <c r="I6" s="403"/>
      <c r="J6" s="403"/>
      <c r="K6" s="403"/>
      <c r="L6" s="404"/>
      <c r="M6" s="403"/>
      <c r="P6" s="405"/>
      <c r="Q6" s="405" t="s">
        <v>2</v>
      </c>
    </row>
    <row r="7" spans="1:22" s="407" customFormat="1" ht="15.75" customHeight="1">
      <c r="A7" s="1015" t="s">
        <v>216</v>
      </c>
      <c r="B7" s="1018" t="s">
        <v>4</v>
      </c>
      <c r="C7" s="406"/>
      <c r="D7" s="1021" t="s">
        <v>6</v>
      </c>
      <c r="E7" s="1011" t="s">
        <v>542</v>
      </c>
      <c r="F7" s="1009" t="s">
        <v>543</v>
      </c>
      <c r="G7" s="1011" t="s">
        <v>544</v>
      </c>
      <c r="H7" s="1026"/>
      <c r="I7" s="1026"/>
      <c r="J7" s="1026"/>
      <c r="K7" s="1026"/>
      <c r="L7" s="1026"/>
      <c r="M7" s="1026"/>
      <c r="N7" s="1026"/>
      <c r="O7" s="1026"/>
      <c r="P7" s="1026"/>
      <c r="Q7" s="1027"/>
    </row>
    <row r="8" spans="1:22" s="407" customFormat="1" ht="15.75" customHeight="1">
      <c r="A8" s="1016"/>
      <c r="B8" s="1019"/>
      <c r="C8" s="408"/>
      <c r="D8" s="1022"/>
      <c r="E8" s="1024"/>
      <c r="F8" s="1025"/>
      <c r="G8" s="1006" t="s">
        <v>545</v>
      </c>
      <c r="H8" s="1007"/>
      <c r="I8" s="1007"/>
      <c r="J8" s="1007"/>
      <c r="K8" s="1007"/>
      <c r="L8" s="1007"/>
      <c r="M8" s="1008"/>
      <c r="N8" s="1006" t="s">
        <v>546</v>
      </c>
      <c r="O8" s="1007"/>
      <c r="P8" s="1007"/>
      <c r="Q8" s="1008"/>
    </row>
    <row r="9" spans="1:22" s="407" customFormat="1" ht="29.25" customHeight="1">
      <c r="A9" s="1016"/>
      <c r="B9" s="1019"/>
      <c r="C9" s="408"/>
      <c r="D9" s="1022"/>
      <c r="E9" s="1024"/>
      <c r="F9" s="1025"/>
      <c r="G9" s="1021" t="s">
        <v>547</v>
      </c>
      <c r="H9" s="1034" t="s">
        <v>548</v>
      </c>
      <c r="I9" s="1035"/>
      <c r="J9" s="1009" t="s">
        <v>549</v>
      </c>
      <c r="K9" s="1009" t="s">
        <v>550</v>
      </c>
      <c r="L9" s="1009" t="s">
        <v>551</v>
      </c>
      <c r="M9" s="1011" t="s">
        <v>552</v>
      </c>
      <c r="N9" s="1009" t="s">
        <v>553</v>
      </c>
      <c r="O9" s="1009" t="s">
        <v>549</v>
      </c>
      <c r="P9" s="1011" t="s">
        <v>550</v>
      </c>
      <c r="Q9" s="1009" t="s">
        <v>552</v>
      </c>
    </row>
    <row r="10" spans="1:22" s="407" customFormat="1" ht="42" customHeight="1">
      <c r="A10" s="1017"/>
      <c r="B10" s="1020"/>
      <c r="C10" s="409"/>
      <c r="D10" s="1023"/>
      <c r="E10" s="1012"/>
      <c r="F10" s="1010"/>
      <c r="G10" s="1012"/>
      <c r="H10" s="410" t="s">
        <v>554</v>
      </c>
      <c r="I10" s="411" t="s">
        <v>555</v>
      </c>
      <c r="J10" s="1010"/>
      <c r="K10" s="1010"/>
      <c r="L10" s="1010"/>
      <c r="M10" s="1012"/>
      <c r="N10" s="1010"/>
      <c r="O10" s="1010"/>
      <c r="P10" s="1012"/>
      <c r="Q10" s="1010"/>
    </row>
    <row r="11" spans="1:22" s="416" customFormat="1" ht="12" customHeight="1">
      <c r="A11" s="412" t="s">
        <v>556</v>
      </c>
      <c r="B11" s="413" t="s">
        <v>557</v>
      </c>
      <c r="C11" s="413"/>
      <c r="D11" s="412" t="s">
        <v>558</v>
      </c>
      <c r="E11" s="412" t="s">
        <v>559</v>
      </c>
      <c r="F11" s="412" t="s">
        <v>560</v>
      </c>
      <c r="G11" s="414" t="s">
        <v>561</v>
      </c>
      <c r="H11" s="412" t="s">
        <v>562</v>
      </c>
      <c r="I11" s="415" t="s">
        <v>563</v>
      </c>
      <c r="J11" s="412" t="s">
        <v>564</v>
      </c>
      <c r="K11" s="412" t="s">
        <v>565</v>
      </c>
      <c r="L11" s="412" t="s">
        <v>566</v>
      </c>
      <c r="M11" s="412" t="s">
        <v>567</v>
      </c>
      <c r="N11" s="412" t="s">
        <v>568</v>
      </c>
      <c r="O11" s="412" t="s">
        <v>569</v>
      </c>
      <c r="P11" s="414" t="s">
        <v>570</v>
      </c>
      <c r="Q11" s="412" t="s">
        <v>571</v>
      </c>
    </row>
    <row r="12" spans="1:22" s="416" customFormat="1" ht="5.0999999999999996" customHeight="1">
      <c r="A12" s="417"/>
      <c r="B12" s="418"/>
      <c r="C12" s="418"/>
      <c r="D12" s="419"/>
      <c r="E12" s="420"/>
      <c r="F12" s="420"/>
      <c r="G12" s="420"/>
      <c r="H12" s="421"/>
      <c r="I12" s="420"/>
      <c r="J12" s="420"/>
      <c r="K12" s="420"/>
      <c r="L12" s="420"/>
      <c r="M12" s="420"/>
      <c r="N12" s="420"/>
      <c r="O12" s="420"/>
      <c r="P12" s="420"/>
      <c r="Q12" s="421"/>
    </row>
    <row r="13" spans="1:22" s="426" customFormat="1" ht="20.100000000000001" customHeight="1">
      <c r="A13" s="1028"/>
      <c r="B13" s="1031" t="s">
        <v>572</v>
      </c>
      <c r="C13" s="422" t="s">
        <v>21</v>
      </c>
      <c r="D13" s="423">
        <f>SUM(E13:Q13)</f>
        <v>971803495.37</v>
      </c>
      <c r="E13" s="424">
        <f>E17+E21+E29+E33+E41+E45+E49+E53+E57+E61+E65+E69+E73+E77+E81+E85+E93+E97+E101+E25+E89+E37</f>
        <v>585720911</v>
      </c>
      <c r="F13" s="424">
        <f t="shared" ref="F13:P15" si="0">F17+F21+F29+F33+F41+F45+F49+F53+F57+F61+F65+F69+F73+F77+F81+F85+F93+F97+F101+F25+F89+F37</f>
        <v>22998448</v>
      </c>
      <c r="G13" s="424">
        <f t="shared" si="0"/>
        <v>186326071</v>
      </c>
      <c r="H13" s="424">
        <f t="shared" si="0"/>
        <v>44794074</v>
      </c>
      <c r="I13" s="424">
        <f t="shared" si="0"/>
        <v>41954628</v>
      </c>
      <c r="J13" s="424">
        <f t="shared" si="0"/>
        <v>501906</v>
      </c>
      <c r="K13" s="424">
        <f t="shared" si="0"/>
        <v>695954</v>
      </c>
      <c r="L13" s="424">
        <f t="shared" si="0"/>
        <v>2589665</v>
      </c>
      <c r="M13" s="424">
        <f>M17+M21+M29+M33+M41+M45+M49+M53+M57+M61+M65+M69+M73+M77+M81+M85+M93+M97+M101+M25+M89+M37</f>
        <v>445</v>
      </c>
      <c r="N13" s="424">
        <f t="shared" si="0"/>
        <v>39475940.370000005</v>
      </c>
      <c r="O13" s="424">
        <f t="shared" si="0"/>
        <v>8228006</v>
      </c>
      <c r="P13" s="425">
        <f t="shared" si="0"/>
        <v>32708966</v>
      </c>
      <c r="Q13" s="424">
        <f>Q17+Q21+Q29+Q33+Q41+Q45+Q49+Q53+Q57+Q61+Q65+Q69+Q73+Q77+Q81+Q85+Q93+Q97+Q101+Q25+Q89+Q37</f>
        <v>5808481</v>
      </c>
      <c r="T13" s="427"/>
    </row>
    <row r="14" spans="1:22" s="426" customFormat="1" ht="20.100000000000001" customHeight="1">
      <c r="A14" s="1029"/>
      <c r="B14" s="1032"/>
      <c r="C14" s="422" t="s">
        <v>22</v>
      </c>
      <c r="D14" s="424">
        <f>SUM(E14:Q14)</f>
        <v>-27486695.289999999</v>
      </c>
      <c r="E14" s="424">
        <f>E18+E22+E30+E34+E42+E46+E50+E54+E58+E62+E66+E70+E74+E78+E82+E86+E94+E98+E102+E26+E90+E38</f>
        <v>1788434</v>
      </c>
      <c r="F14" s="424">
        <f t="shared" si="0"/>
        <v>-1446468</v>
      </c>
      <c r="G14" s="424">
        <f t="shared" si="0"/>
        <v>-24708662</v>
      </c>
      <c r="H14" s="424">
        <f t="shared" si="0"/>
        <v>-79154</v>
      </c>
      <c r="I14" s="424">
        <f t="shared" si="0"/>
        <v>-3517043</v>
      </c>
      <c r="J14" s="424">
        <f t="shared" si="0"/>
        <v>0</v>
      </c>
      <c r="K14" s="424">
        <f t="shared" si="0"/>
        <v>0</v>
      </c>
      <c r="L14" s="424">
        <f t="shared" si="0"/>
        <v>0</v>
      </c>
      <c r="M14" s="424">
        <f>M18+M22+M30+M34+M42+M46+M50+M54+M58+M62+M66+M70+M74+M78+M82+M86+M94+M98+M102+M26+M90+M38</f>
        <v>0</v>
      </c>
      <c r="N14" s="424">
        <f t="shared" si="0"/>
        <v>11107.71</v>
      </c>
      <c r="O14" s="424">
        <f t="shared" si="0"/>
        <v>465090</v>
      </c>
      <c r="P14" s="425">
        <f t="shared" si="0"/>
        <v>0</v>
      </c>
      <c r="Q14" s="424">
        <f>Q18+Q22+Q30+Q34+Q42+Q46+Q50+Q54+Q58+Q62+Q66+Q70+Q74+Q78+Q82+Q86+Q94+Q98+Q102+Q26+Q90+Q38</f>
        <v>0</v>
      </c>
      <c r="T14" s="427"/>
    </row>
    <row r="15" spans="1:22" s="426" customFormat="1" ht="20.100000000000001" customHeight="1">
      <c r="A15" s="1030"/>
      <c r="B15" s="1033"/>
      <c r="C15" s="422" t="s">
        <v>23</v>
      </c>
      <c r="D15" s="424">
        <f>SUM(E15:Q15)</f>
        <v>944316800.08000004</v>
      </c>
      <c r="E15" s="424">
        <f>E19+E23+E31+E35+E43+E47+E51+E55+E59+E63+E67+E71+E75+E79+E83+E87+E95+E99+E103+E27+E91+E39</f>
        <v>587509345</v>
      </c>
      <c r="F15" s="424">
        <f t="shared" si="0"/>
        <v>21551980</v>
      </c>
      <c r="G15" s="424">
        <f t="shared" si="0"/>
        <v>161617409</v>
      </c>
      <c r="H15" s="424">
        <f t="shared" si="0"/>
        <v>44714920</v>
      </c>
      <c r="I15" s="424">
        <f t="shared" si="0"/>
        <v>38437585</v>
      </c>
      <c r="J15" s="424">
        <f t="shared" si="0"/>
        <v>501906</v>
      </c>
      <c r="K15" s="424">
        <f t="shared" si="0"/>
        <v>695954</v>
      </c>
      <c r="L15" s="424">
        <f t="shared" si="0"/>
        <v>2589665</v>
      </c>
      <c r="M15" s="424">
        <f>M19+M23+M31+M35+M43+M47+M51+M55+M59+M63+M67+M71+M75+M79+M83+M87+M95+M99+M103+M27+M91+M39</f>
        <v>445</v>
      </c>
      <c r="N15" s="424">
        <f t="shared" si="0"/>
        <v>39487048.079999998</v>
      </c>
      <c r="O15" s="424">
        <f t="shared" si="0"/>
        <v>8693096</v>
      </c>
      <c r="P15" s="425">
        <f t="shared" si="0"/>
        <v>32708966</v>
      </c>
      <c r="Q15" s="424">
        <f>Q19+Q23+Q31+Q35+Q43+Q47+Q51+Q55+Q59+Q63+Q67+Q71+Q75+Q79+Q83+Q87+Q95+Q99+Q103+Q27+Q91+Q39</f>
        <v>5808481</v>
      </c>
      <c r="R15" s="427"/>
      <c r="S15" s="427"/>
      <c r="T15" s="427"/>
    </row>
    <row r="16" spans="1:22" s="434" customFormat="1" ht="5.0999999999999996" customHeight="1">
      <c r="A16" s="408"/>
      <c r="B16" s="428"/>
      <c r="C16" s="428"/>
      <c r="D16" s="429"/>
      <c r="E16" s="430"/>
      <c r="F16" s="431"/>
      <c r="G16" s="431"/>
      <c r="H16" s="432"/>
      <c r="I16" s="431"/>
      <c r="J16" s="431"/>
      <c r="K16" s="433"/>
      <c r="L16" s="431"/>
      <c r="M16" s="431"/>
      <c r="N16" s="431"/>
      <c r="O16" s="431"/>
      <c r="P16" s="431"/>
      <c r="Q16" s="432"/>
      <c r="T16" s="435"/>
    </row>
    <row r="17" spans="1:20" s="426" customFormat="1" ht="18.75" customHeight="1">
      <c r="A17" s="1036" t="s">
        <v>24</v>
      </c>
      <c r="B17" s="1039" t="s">
        <v>573</v>
      </c>
      <c r="C17" s="436" t="s">
        <v>21</v>
      </c>
      <c r="D17" s="437">
        <f>SUM(E17:Q17)</f>
        <v>12261663.359999999</v>
      </c>
      <c r="E17" s="438">
        <v>0</v>
      </c>
      <c r="F17" s="438">
        <v>6560800</v>
      </c>
      <c r="G17" s="439">
        <v>0</v>
      </c>
      <c r="H17" s="438">
        <v>3564000</v>
      </c>
      <c r="I17" s="440">
        <v>2036000</v>
      </c>
      <c r="J17" s="438">
        <v>0</v>
      </c>
      <c r="K17" s="441">
        <v>0</v>
      </c>
      <c r="L17" s="439">
        <v>0</v>
      </c>
      <c r="M17" s="439">
        <v>0</v>
      </c>
      <c r="N17" s="438">
        <v>100863.36</v>
      </c>
      <c r="O17" s="438">
        <v>0</v>
      </c>
      <c r="P17" s="440">
        <v>0</v>
      </c>
      <c r="Q17" s="438">
        <v>0</v>
      </c>
      <c r="T17" s="427"/>
    </row>
    <row r="18" spans="1:20" s="426" customFormat="1" ht="18.75" customHeight="1">
      <c r="A18" s="1037"/>
      <c r="B18" s="1040"/>
      <c r="C18" s="436" t="s">
        <v>22</v>
      </c>
      <c r="D18" s="437">
        <f>SUM(E18:Q18)</f>
        <v>-703892.29</v>
      </c>
      <c r="E18" s="442">
        <v>0</v>
      </c>
      <c r="F18" s="442">
        <v>-715000</v>
      </c>
      <c r="G18" s="443">
        <v>0</v>
      </c>
      <c r="H18" s="442">
        <v>0</v>
      </c>
      <c r="I18" s="443">
        <v>0</v>
      </c>
      <c r="J18" s="442">
        <v>0</v>
      </c>
      <c r="K18" s="444">
        <v>0</v>
      </c>
      <c r="L18" s="445">
        <v>0</v>
      </c>
      <c r="M18" s="445">
        <v>0</v>
      </c>
      <c r="N18" s="442">
        <v>11107.71</v>
      </c>
      <c r="O18" s="442">
        <v>0</v>
      </c>
      <c r="P18" s="443">
        <v>0</v>
      </c>
      <c r="Q18" s="442">
        <v>0</v>
      </c>
      <c r="T18" s="427"/>
    </row>
    <row r="19" spans="1:20" s="426" customFormat="1" ht="18.75" customHeight="1">
      <c r="A19" s="1038"/>
      <c r="B19" s="1041"/>
      <c r="C19" s="436" t="s">
        <v>23</v>
      </c>
      <c r="D19" s="437">
        <f>SUM(E19:Q19)</f>
        <v>11557771.07</v>
      </c>
      <c r="E19" s="442">
        <f>E17+E18</f>
        <v>0</v>
      </c>
      <c r="F19" s="442">
        <f t="shared" ref="F19:P19" si="1">F17+F18</f>
        <v>5845800</v>
      </c>
      <c r="G19" s="442">
        <f t="shared" si="1"/>
        <v>0</v>
      </c>
      <c r="H19" s="442">
        <f t="shared" si="1"/>
        <v>3564000</v>
      </c>
      <c r="I19" s="442">
        <f t="shared" si="1"/>
        <v>2036000</v>
      </c>
      <c r="J19" s="442">
        <f t="shared" si="1"/>
        <v>0</v>
      </c>
      <c r="K19" s="442">
        <f t="shared" si="1"/>
        <v>0</v>
      </c>
      <c r="L19" s="442">
        <f t="shared" si="1"/>
        <v>0</v>
      </c>
      <c r="M19" s="442">
        <f>M17+M18</f>
        <v>0</v>
      </c>
      <c r="N19" s="442">
        <f t="shared" si="1"/>
        <v>111971.07</v>
      </c>
      <c r="O19" s="442">
        <f t="shared" si="1"/>
        <v>0</v>
      </c>
      <c r="P19" s="445">
        <f t="shared" si="1"/>
        <v>0</v>
      </c>
      <c r="Q19" s="442">
        <f>Q17+Q18</f>
        <v>0</v>
      </c>
      <c r="T19" s="427"/>
    </row>
    <row r="20" spans="1:20" s="426" customFormat="1" ht="5.0999999999999996" customHeight="1">
      <c r="A20" s="446"/>
      <c r="B20" s="447"/>
      <c r="C20" s="448"/>
      <c r="D20" s="449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38"/>
      <c r="T20" s="427"/>
    </row>
    <row r="21" spans="1:20" s="426" customFormat="1" ht="20.25" customHeight="1">
      <c r="A21" s="1036" t="s">
        <v>38</v>
      </c>
      <c r="B21" s="1039" t="s">
        <v>39</v>
      </c>
      <c r="C21" s="436" t="s">
        <v>21</v>
      </c>
      <c r="D21" s="437">
        <f>SUM(E21:Q21)</f>
        <v>444000</v>
      </c>
      <c r="E21" s="442">
        <v>0</v>
      </c>
      <c r="F21" s="442">
        <v>0</v>
      </c>
      <c r="G21" s="443">
        <v>0</v>
      </c>
      <c r="H21" s="442">
        <v>285000</v>
      </c>
      <c r="I21" s="443">
        <v>95000</v>
      </c>
      <c r="J21" s="442">
        <v>0</v>
      </c>
      <c r="K21" s="444">
        <v>0</v>
      </c>
      <c r="L21" s="445">
        <v>0</v>
      </c>
      <c r="M21" s="445">
        <v>0</v>
      </c>
      <c r="N21" s="442">
        <v>64000</v>
      </c>
      <c r="O21" s="442">
        <v>0</v>
      </c>
      <c r="P21" s="443">
        <v>0</v>
      </c>
      <c r="Q21" s="442">
        <v>0</v>
      </c>
      <c r="T21" s="427"/>
    </row>
    <row r="22" spans="1:20" s="426" customFormat="1" ht="20.25" customHeight="1">
      <c r="A22" s="1037"/>
      <c r="B22" s="1040"/>
      <c r="C22" s="436" t="s">
        <v>22</v>
      </c>
      <c r="D22" s="437">
        <f>SUM(E22:Q22)</f>
        <v>-105540</v>
      </c>
      <c r="E22" s="442">
        <v>0</v>
      </c>
      <c r="F22" s="442">
        <v>0</v>
      </c>
      <c r="G22" s="443">
        <v>0</v>
      </c>
      <c r="H22" s="442">
        <v>-79154</v>
      </c>
      <c r="I22" s="443">
        <v>-26386</v>
      </c>
      <c r="J22" s="442">
        <v>0</v>
      </c>
      <c r="K22" s="444">
        <v>0</v>
      </c>
      <c r="L22" s="445">
        <v>0</v>
      </c>
      <c r="M22" s="445">
        <v>0</v>
      </c>
      <c r="N22" s="442">
        <v>0</v>
      </c>
      <c r="O22" s="442">
        <v>0</v>
      </c>
      <c r="P22" s="443">
        <v>0</v>
      </c>
      <c r="Q22" s="442">
        <v>0</v>
      </c>
      <c r="T22" s="427"/>
    </row>
    <row r="23" spans="1:20" s="426" customFormat="1" ht="20.25" customHeight="1">
      <c r="A23" s="1038"/>
      <c r="B23" s="1041"/>
      <c r="C23" s="436" t="s">
        <v>23</v>
      </c>
      <c r="D23" s="437">
        <f>SUM(E23:Q23)</f>
        <v>338460</v>
      </c>
      <c r="E23" s="442">
        <f t="shared" ref="E23:P23" si="2">E21+E22</f>
        <v>0</v>
      </c>
      <c r="F23" s="442">
        <f t="shared" si="2"/>
        <v>0</v>
      </c>
      <c r="G23" s="442">
        <f t="shared" si="2"/>
        <v>0</v>
      </c>
      <c r="H23" s="442">
        <f t="shared" si="2"/>
        <v>205846</v>
      </c>
      <c r="I23" s="442">
        <f t="shared" si="2"/>
        <v>68614</v>
      </c>
      <c r="J23" s="442">
        <f t="shared" si="2"/>
        <v>0</v>
      </c>
      <c r="K23" s="442">
        <f t="shared" si="2"/>
        <v>0</v>
      </c>
      <c r="L23" s="442">
        <f t="shared" si="2"/>
        <v>0</v>
      </c>
      <c r="M23" s="442">
        <f>M21+M22</f>
        <v>0</v>
      </c>
      <c r="N23" s="442">
        <f t="shared" si="2"/>
        <v>64000</v>
      </c>
      <c r="O23" s="442">
        <f t="shared" si="2"/>
        <v>0</v>
      </c>
      <c r="P23" s="445">
        <f t="shared" si="2"/>
        <v>0</v>
      </c>
      <c r="Q23" s="442">
        <f>Q21+Q22</f>
        <v>0</v>
      </c>
      <c r="T23" s="427"/>
    </row>
    <row r="24" spans="1:20" s="426" customFormat="1" ht="5.0999999999999996" customHeight="1">
      <c r="A24" s="446"/>
      <c r="B24" s="447"/>
      <c r="C24" s="447"/>
      <c r="D24" s="449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38"/>
      <c r="T24" s="427"/>
    </row>
    <row r="25" spans="1:20" s="426" customFormat="1" ht="18" customHeight="1">
      <c r="A25" s="1036" t="s">
        <v>45</v>
      </c>
      <c r="B25" s="1039" t="s">
        <v>46</v>
      </c>
      <c r="C25" s="436" t="s">
        <v>21</v>
      </c>
      <c r="D25" s="437">
        <f>SUM(E25:Q25)</f>
        <v>6020497</v>
      </c>
      <c r="E25" s="438">
        <v>0</v>
      </c>
      <c r="F25" s="438">
        <v>7734</v>
      </c>
      <c r="G25" s="440">
        <v>0</v>
      </c>
      <c r="H25" s="438">
        <v>0</v>
      </c>
      <c r="I25" s="440">
        <v>0</v>
      </c>
      <c r="J25" s="438">
        <v>0</v>
      </c>
      <c r="K25" s="441">
        <v>0</v>
      </c>
      <c r="L25" s="439">
        <v>204282</v>
      </c>
      <c r="M25" s="438">
        <v>0</v>
      </c>
      <c r="N25" s="438">
        <v>0</v>
      </c>
      <c r="O25" s="438">
        <v>0</v>
      </c>
      <c r="P25" s="440">
        <v>0</v>
      </c>
      <c r="Q25" s="438">
        <v>5808481</v>
      </c>
      <c r="T25" s="427"/>
    </row>
    <row r="26" spans="1:20" s="426" customFormat="1" ht="18" customHeight="1">
      <c r="A26" s="1037"/>
      <c r="B26" s="1040"/>
      <c r="C26" s="436" t="s">
        <v>22</v>
      </c>
      <c r="D26" s="437">
        <f>SUM(E26:Q26)</f>
        <v>2660</v>
      </c>
      <c r="E26" s="442">
        <v>0</v>
      </c>
      <c r="F26" s="442">
        <v>2660</v>
      </c>
      <c r="G26" s="443">
        <v>0</v>
      </c>
      <c r="H26" s="442">
        <v>0</v>
      </c>
      <c r="I26" s="443">
        <v>0</v>
      </c>
      <c r="J26" s="442">
        <v>0</v>
      </c>
      <c r="K26" s="444">
        <v>0</v>
      </c>
      <c r="L26" s="445">
        <v>0</v>
      </c>
      <c r="M26" s="442">
        <v>0</v>
      </c>
      <c r="N26" s="442">
        <v>0</v>
      </c>
      <c r="O26" s="442">
        <v>0</v>
      </c>
      <c r="P26" s="443">
        <v>0</v>
      </c>
      <c r="Q26" s="442">
        <v>0</v>
      </c>
      <c r="T26" s="427"/>
    </row>
    <row r="27" spans="1:20" s="426" customFormat="1" ht="18" customHeight="1">
      <c r="A27" s="1038"/>
      <c r="B27" s="1041"/>
      <c r="C27" s="436" t="s">
        <v>23</v>
      </c>
      <c r="D27" s="437">
        <f>SUM(E27:Q27)</f>
        <v>6023157</v>
      </c>
      <c r="E27" s="442">
        <f t="shared" ref="E27:P27" si="3">E25+E26</f>
        <v>0</v>
      </c>
      <c r="F27" s="442">
        <f t="shared" si="3"/>
        <v>10394</v>
      </c>
      <c r="G27" s="442">
        <f t="shared" si="3"/>
        <v>0</v>
      </c>
      <c r="H27" s="442">
        <f t="shared" si="3"/>
        <v>0</v>
      </c>
      <c r="I27" s="442">
        <f t="shared" si="3"/>
        <v>0</v>
      </c>
      <c r="J27" s="442">
        <f t="shared" si="3"/>
        <v>0</v>
      </c>
      <c r="K27" s="442">
        <f t="shared" si="3"/>
        <v>0</v>
      </c>
      <c r="L27" s="442">
        <f t="shared" si="3"/>
        <v>204282</v>
      </c>
      <c r="M27" s="442">
        <f>M25+M26</f>
        <v>0</v>
      </c>
      <c r="N27" s="442">
        <f t="shared" si="3"/>
        <v>0</v>
      </c>
      <c r="O27" s="442">
        <f t="shared" si="3"/>
        <v>0</v>
      </c>
      <c r="P27" s="445">
        <f t="shared" si="3"/>
        <v>0</v>
      </c>
      <c r="Q27" s="442">
        <f>Q25+Q26</f>
        <v>5808481</v>
      </c>
      <c r="T27" s="427"/>
    </row>
    <row r="28" spans="1:20" s="426" customFormat="1" ht="5.0999999999999996" customHeight="1">
      <c r="A28" s="450"/>
      <c r="B28" s="448"/>
      <c r="C28" s="447"/>
      <c r="D28" s="449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1"/>
      <c r="T28" s="427"/>
    </row>
    <row r="29" spans="1:20" s="454" customFormat="1" ht="18" hidden="1" customHeight="1">
      <c r="A29" s="1042" t="s">
        <v>52</v>
      </c>
      <c r="B29" s="1045" t="s">
        <v>53</v>
      </c>
      <c r="C29" s="436" t="s">
        <v>21</v>
      </c>
      <c r="D29" s="437">
        <f>SUM(E29:Q29)</f>
        <v>0</v>
      </c>
      <c r="E29" s="451">
        <v>0</v>
      </c>
      <c r="F29" s="451">
        <v>0</v>
      </c>
      <c r="G29" s="452">
        <v>0</v>
      </c>
      <c r="H29" s="451">
        <v>0</v>
      </c>
      <c r="I29" s="453">
        <v>0</v>
      </c>
      <c r="J29" s="451">
        <v>0</v>
      </c>
      <c r="K29" s="453">
        <v>0</v>
      </c>
      <c r="L29" s="451">
        <v>0</v>
      </c>
      <c r="M29" s="451">
        <v>0</v>
      </c>
      <c r="N29" s="451">
        <v>0</v>
      </c>
      <c r="O29" s="451">
        <v>0</v>
      </c>
      <c r="P29" s="452">
        <v>0</v>
      </c>
      <c r="Q29" s="451">
        <v>0</v>
      </c>
      <c r="T29" s="455"/>
    </row>
    <row r="30" spans="1:20" s="454" customFormat="1" ht="18" hidden="1" customHeight="1">
      <c r="A30" s="1043"/>
      <c r="B30" s="1046"/>
      <c r="C30" s="436" t="s">
        <v>22</v>
      </c>
      <c r="D30" s="437">
        <f>SUM(E30:Q30)</f>
        <v>0</v>
      </c>
      <c r="E30" s="442">
        <v>0</v>
      </c>
      <c r="F30" s="442">
        <v>0</v>
      </c>
      <c r="G30" s="443">
        <v>0</v>
      </c>
      <c r="H30" s="442">
        <v>0</v>
      </c>
      <c r="I30" s="443">
        <v>0</v>
      </c>
      <c r="J30" s="442">
        <v>0</v>
      </c>
      <c r="K30" s="444">
        <v>0</v>
      </c>
      <c r="L30" s="445">
        <v>0</v>
      </c>
      <c r="M30" s="445">
        <v>0</v>
      </c>
      <c r="N30" s="442">
        <v>0</v>
      </c>
      <c r="O30" s="442">
        <v>0</v>
      </c>
      <c r="P30" s="443">
        <v>0</v>
      </c>
      <c r="Q30" s="442">
        <v>0</v>
      </c>
      <c r="T30" s="455"/>
    </row>
    <row r="31" spans="1:20" s="454" customFormat="1" ht="18" hidden="1" customHeight="1">
      <c r="A31" s="1044"/>
      <c r="B31" s="1047"/>
      <c r="C31" s="436" t="s">
        <v>23</v>
      </c>
      <c r="D31" s="437">
        <f>SUM(E31:Q31)</f>
        <v>0</v>
      </c>
      <c r="E31" s="442">
        <f t="shared" ref="E31:P31" si="4">E29+E30</f>
        <v>0</v>
      </c>
      <c r="F31" s="442">
        <f t="shared" si="4"/>
        <v>0</v>
      </c>
      <c r="G31" s="442">
        <f t="shared" si="4"/>
        <v>0</v>
      </c>
      <c r="H31" s="442">
        <f t="shared" si="4"/>
        <v>0</v>
      </c>
      <c r="I31" s="442">
        <f t="shared" si="4"/>
        <v>0</v>
      </c>
      <c r="J31" s="442">
        <f t="shared" si="4"/>
        <v>0</v>
      </c>
      <c r="K31" s="442">
        <f t="shared" si="4"/>
        <v>0</v>
      </c>
      <c r="L31" s="442">
        <f t="shared" si="4"/>
        <v>0</v>
      </c>
      <c r="M31" s="442">
        <f>M29+M30</f>
        <v>0</v>
      </c>
      <c r="N31" s="442">
        <f t="shared" si="4"/>
        <v>0</v>
      </c>
      <c r="O31" s="442">
        <f t="shared" si="4"/>
        <v>0</v>
      </c>
      <c r="P31" s="445">
        <f t="shared" si="4"/>
        <v>0</v>
      </c>
      <c r="Q31" s="442">
        <f>Q29+Q30</f>
        <v>0</v>
      </c>
      <c r="T31" s="455"/>
    </row>
    <row r="32" spans="1:20" s="454" customFormat="1" ht="4.5" hidden="1" customHeight="1">
      <c r="A32" s="456"/>
      <c r="B32" s="457"/>
      <c r="C32" s="457"/>
      <c r="D32" s="449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1"/>
      <c r="T32" s="455"/>
    </row>
    <row r="33" spans="1:20" s="454" customFormat="1" ht="18.75" hidden="1" customHeight="1">
      <c r="A33" s="1042" t="s">
        <v>56</v>
      </c>
      <c r="B33" s="1045" t="s">
        <v>57</v>
      </c>
      <c r="C33" s="436" t="s">
        <v>21</v>
      </c>
      <c r="D33" s="437">
        <f>SUM(E33:Q33)</f>
        <v>74739530</v>
      </c>
      <c r="E33" s="451">
        <v>0</v>
      </c>
      <c r="F33" s="451">
        <v>8436336</v>
      </c>
      <c r="G33" s="452">
        <v>0</v>
      </c>
      <c r="H33" s="451">
        <v>0</v>
      </c>
      <c r="I33" s="453">
        <v>0</v>
      </c>
      <c r="J33" s="451">
        <v>0</v>
      </c>
      <c r="K33" s="453">
        <v>0</v>
      </c>
      <c r="L33" s="451">
        <v>679813</v>
      </c>
      <c r="M33" s="451">
        <v>0</v>
      </c>
      <c r="N33" s="451">
        <v>30557000</v>
      </c>
      <c r="O33" s="451">
        <v>2722735</v>
      </c>
      <c r="P33" s="452">
        <v>32343646</v>
      </c>
      <c r="Q33" s="451">
        <v>0</v>
      </c>
      <c r="T33" s="455"/>
    </row>
    <row r="34" spans="1:20" s="454" customFormat="1" ht="18.75" hidden="1" customHeight="1">
      <c r="A34" s="1043"/>
      <c r="B34" s="1046"/>
      <c r="C34" s="436" t="s">
        <v>22</v>
      </c>
      <c r="D34" s="437">
        <f t="shared" ref="D34:D51" si="5">SUM(E34:Q34)</f>
        <v>0</v>
      </c>
      <c r="E34" s="442">
        <v>0</v>
      </c>
      <c r="F34" s="442">
        <v>0</v>
      </c>
      <c r="G34" s="443">
        <v>0</v>
      </c>
      <c r="H34" s="442">
        <v>0</v>
      </c>
      <c r="I34" s="443">
        <v>0</v>
      </c>
      <c r="J34" s="442">
        <v>0</v>
      </c>
      <c r="K34" s="444">
        <v>0</v>
      </c>
      <c r="L34" s="445">
        <v>0</v>
      </c>
      <c r="M34" s="445">
        <v>0</v>
      </c>
      <c r="N34" s="442">
        <v>0</v>
      </c>
      <c r="O34" s="442">
        <v>0</v>
      </c>
      <c r="P34" s="443">
        <v>0</v>
      </c>
      <c r="Q34" s="442">
        <v>0</v>
      </c>
      <c r="T34" s="455"/>
    </row>
    <row r="35" spans="1:20" s="454" customFormat="1" ht="18.75" hidden="1" customHeight="1">
      <c r="A35" s="1044"/>
      <c r="B35" s="1047"/>
      <c r="C35" s="436" t="s">
        <v>23</v>
      </c>
      <c r="D35" s="437">
        <f t="shared" si="5"/>
        <v>74739530</v>
      </c>
      <c r="E35" s="442">
        <f t="shared" ref="E35:P35" si="6">E33+E34</f>
        <v>0</v>
      </c>
      <c r="F35" s="442">
        <f t="shared" si="6"/>
        <v>8436336</v>
      </c>
      <c r="G35" s="442">
        <f t="shared" si="6"/>
        <v>0</v>
      </c>
      <c r="H35" s="442">
        <f t="shared" si="6"/>
        <v>0</v>
      </c>
      <c r="I35" s="442">
        <f t="shared" si="6"/>
        <v>0</v>
      </c>
      <c r="J35" s="442">
        <f t="shared" si="6"/>
        <v>0</v>
      </c>
      <c r="K35" s="442">
        <f t="shared" si="6"/>
        <v>0</v>
      </c>
      <c r="L35" s="442">
        <f t="shared" si="6"/>
        <v>679813</v>
      </c>
      <c r="M35" s="442">
        <f t="shared" si="6"/>
        <v>0</v>
      </c>
      <c r="N35" s="442">
        <f t="shared" si="6"/>
        <v>30557000</v>
      </c>
      <c r="O35" s="442">
        <f t="shared" si="6"/>
        <v>2722735</v>
      </c>
      <c r="P35" s="445">
        <f t="shared" si="6"/>
        <v>32343646</v>
      </c>
      <c r="Q35" s="442">
        <f>Q33+Q34</f>
        <v>0</v>
      </c>
      <c r="T35" s="455"/>
    </row>
    <row r="36" spans="1:20" s="454" customFormat="1" ht="3.75" hidden="1" customHeight="1">
      <c r="A36" s="458"/>
      <c r="B36" s="459"/>
      <c r="C36" s="459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60"/>
      <c r="T36" s="455"/>
    </row>
    <row r="37" spans="1:20" s="399" customFormat="1" ht="20.25" hidden="1" customHeight="1">
      <c r="A37" s="1042" t="s">
        <v>73</v>
      </c>
      <c r="B37" s="1045" t="s">
        <v>74</v>
      </c>
      <c r="C37" s="436" t="s">
        <v>21</v>
      </c>
      <c r="D37" s="437">
        <f>SUM(E37:Q37)</f>
        <v>787701</v>
      </c>
      <c r="E37" s="451">
        <v>0</v>
      </c>
      <c r="F37" s="451">
        <v>450</v>
      </c>
      <c r="G37" s="452">
        <v>0</v>
      </c>
      <c r="H37" s="451">
        <v>0</v>
      </c>
      <c r="I37" s="453">
        <v>0</v>
      </c>
      <c r="J37" s="451">
        <v>0</v>
      </c>
      <c r="K37" s="453">
        <v>0</v>
      </c>
      <c r="L37" s="451">
        <v>600251</v>
      </c>
      <c r="M37" s="451">
        <v>0</v>
      </c>
      <c r="N37" s="451">
        <v>187000</v>
      </c>
      <c r="O37" s="451">
        <v>0</v>
      </c>
      <c r="P37" s="452">
        <v>0</v>
      </c>
      <c r="Q37" s="451">
        <v>0</v>
      </c>
      <c r="T37" s="461"/>
    </row>
    <row r="38" spans="1:20" s="399" customFormat="1" ht="20.25" hidden="1" customHeight="1">
      <c r="A38" s="1043"/>
      <c r="B38" s="1046"/>
      <c r="C38" s="436" t="s">
        <v>22</v>
      </c>
      <c r="D38" s="437">
        <f t="shared" si="5"/>
        <v>0</v>
      </c>
      <c r="E38" s="442">
        <v>0</v>
      </c>
      <c r="F38" s="442">
        <v>0</v>
      </c>
      <c r="G38" s="443">
        <v>0</v>
      </c>
      <c r="H38" s="442">
        <v>0</v>
      </c>
      <c r="I38" s="443">
        <v>0</v>
      </c>
      <c r="J38" s="442">
        <v>0</v>
      </c>
      <c r="K38" s="444">
        <v>0</v>
      </c>
      <c r="L38" s="445">
        <v>0</v>
      </c>
      <c r="M38" s="445">
        <v>0</v>
      </c>
      <c r="N38" s="442">
        <v>0</v>
      </c>
      <c r="O38" s="442">
        <v>0</v>
      </c>
      <c r="P38" s="443">
        <v>0</v>
      </c>
      <c r="Q38" s="442">
        <v>0</v>
      </c>
      <c r="T38" s="461"/>
    </row>
    <row r="39" spans="1:20" s="399" customFormat="1" ht="20.25" hidden="1" customHeight="1">
      <c r="A39" s="1044"/>
      <c r="B39" s="1047"/>
      <c r="C39" s="436" t="s">
        <v>23</v>
      </c>
      <c r="D39" s="437">
        <f t="shared" si="5"/>
        <v>787701</v>
      </c>
      <c r="E39" s="442">
        <f t="shared" ref="E39:P39" si="7">E37+E38</f>
        <v>0</v>
      </c>
      <c r="F39" s="442">
        <f t="shared" si="7"/>
        <v>450</v>
      </c>
      <c r="G39" s="442">
        <f t="shared" si="7"/>
        <v>0</v>
      </c>
      <c r="H39" s="442">
        <f t="shared" si="7"/>
        <v>0</v>
      </c>
      <c r="I39" s="442">
        <f t="shared" si="7"/>
        <v>0</v>
      </c>
      <c r="J39" s="442">
        <f t="shared" si="7"/>
        <v>0</v>
      </c>
      <c r="K39" s="442">
        <f t="shared" si="7"/>
        <v>0</v>
      </c>
      <c r="L39" s="442">
        <f t="shared" si="7"/>
        <v>600251</v>
      </c>
      <c r="M39" s="442">
        <f t="shared" si="7"/>
        <v>0</v>
      </c>
      <c r="N39" s="442">
        <f t="shared" si="7"/>
        <v>187000</v>
      </c>
      <c r="O39" s="442">
        <f t="shared" si="7"/>
        <v>0</v>
      </c>
      <c r="P39" s="445">
        <f t="shared" si="7"/>
        <v>0</v>
      </c>
      <c r="Q39" s="442">
        <f>Q37+Q38</f>
        <v>0</v>
      </c>
      <c r="T39" s="461"/>
    </row>
    <row r="40" spans="1:20" s="454" customFormat="1" ht="3.75" hidden="1" customHeight="1">
      <c r="A40" s="462"/>
      <c r="B40" s="463"/>
      <c r="C40" s="464"/>
      <c r="D40" s="452"/>
      <c r="E40" s="465"/>
      <c r="F40" s="465"/>
      <c r="G40" s="465"/>
      <c r="H40" s="465"/>
      <c r="I40" s="465"/>
      <c r="J40" s="465"/>
      <c r="K40" s="465"/>
      <c r="L40" s="465"/>
      <c r="M40" s="452"/>
      <c r="N40" s="465"/>
      <c r="O40" s="465"/>
      <c r="P40" s="465"/>
      <c r="Q40" s="466"/>
      <c r="T40" s="455"/>
    </row>
    <row r="41" spans="1:20" s="399" customFormat="1" ht="20.25" hidden="1" customHeight="1">
      <c r="A41" s="1042" t="s">
        <v>78</v>
      </c>
      <c r="B41" s="1045" t="s">
        <v>79</v>
      </c>
      <c r="C41" s="436" t="s">
        <v>21</v>
      </c>
      <c r="D41" s="437">
        <f>SUM(E41:Q41)</f>
        <v>860000</v>
      </c>
      <c r="E41" s="451">
        <v>0</v>
      </c>
      <c r="F41" s="451">
        <v>860000</v>
      </c>
      <c r="G41" s="452">
        <v>0</v>
      </c>
      <c r="H41" s="451">
        <v>0</v>
      </c>
      <c r="I41" s="453">
        <v>0</v>
      </c>
      <c r="J41" s="451">
        <v>0</v>
      </c>
      <c r="K41" s="453">
        <v>0</v>
      </c>
      <c r="L41" s="451">
        <v>0</v>
      </c>
      <c r="M41" s="451">
        <v>0</v>
      </c>
      <c r="N41" s="451">
        <v>0</v>
      </c>
      <c r="O41" s="451">
        <v>0</v>
      </c>
      <c r="P41" s="452">
        <v>0</v>
      </c>
      <c r="Q41" s="451">
        <v>0</v>
      </c>
      <c r="T41" s="461"/>
    </row>
    <row r="42" spans="1:20" s="399" customFormat="1" ht="20.25" hidden="1" customHeight="1">
      <c r="A42" s="1043"/>
      <c r="B42" s="1046"/>
      <c r="C42" s="436" t="s">
        <v>22</v>
      </c>
      <c r="D42" s="437">
        <f t="shared" si="5"/>
        <v>0</v>
      </c>
      <c r="E42" s="442">
        <v>0</v>
      </c>
      <c r="F42" s="442">
        <v>0</v>
      </c>
      <c r="G42" s="443">
        <v>0</v>
      </c>
      <c r="H42" s="442">
        <v>0</v>
      </c>
      <c r="I42" s="443">
        <v>0</v>
      </c>
      <c r="J42" s="442">
        <v>0</v>
      </c>
      <c r="K42" s="444">
        <v>0</v>
      </c>
      <c r="L42" s="445">
        <v>0</v>
      </c>
      <c r="M42" s="445">
        <v>0</v>
      </c>
      <c r="N42" s="442">
        <v>0</v>
      </c>
      <c r="O42" s="442">
        <v>0</v>
      </c>
      <c r="P42" s="443">
        <v>0</v>
      </c>
      <c r="Q42" s="442">
        <v>0</v>
      </c>
      <c r="T42" s="461"/>
    </row>
    <row r="43" spans="1:20" s="399" customFormat="1" ht="20.25" hidden="1" customHeight="1">
      <c r="A43" s="1044"/>
      <c r="B43" s="1047"/>
      <c r="C43" s="436" t="s">
        <v>23</v>
      </c>
      <c r="D43" s="437">
        <f t="shared" si="5"/>
        <v>860000</v>
      </c>
      <c r="E43" s="442">
        <f t="shared" ref="E43:P43" si="8">E41+E42</f>
        <v>0</v>
      </c>
      <c r="F43" s="442">
        <f t="shared" si="8"/>
        <v>860000</v>
      </c>
      <c r="G43" s="442">
        <f t="shared" si="8"/>
        <v>0</v>
      </c>
      <c r="H43" s="442">
        <f t="shared" si="8"/>
        <v>0</v>
      </c>
      <c r="I43" s="442">
        <f t="shared" si="8"/>
        <v>0</v>
      </c>
      <c r="J43" s="442">
        <f t="shared" si="8"/>
        <v>0</v>
      </c>
      <c r="K43" s="442">
        <f t="shared" si="8"/>
        <v>0</v>
      </c>
      <c r="L43" s="442">
        <f t="shared" si="8"/>
        <v>0</v>
      </c>
      <c r="M43" s="442">
        <f t="shared" si="8"/>
        <v>0</v>
      </c>
      <c r="N43" s="442">
        <f t="shared" si="8"/>
        <v>0</v>
      </c>
      <c r="O43" s="442">
        <f t="shared" si="8"/>
        <v>0</v>
      </c>
      <c r="P43" s="445">
        <f t="shared" si="8"/>
        <v>0</v>
      </c>
      <c r="Q43" s="442">
        <f>Q41+Q42</f>
        <v>0</v>
      </c>
      <c r="T43" s="461"/>
    </row>
    <row r="44" spans="1:20" s="399" customFormat="1" ht="20.25" hidden="1" customHeight="1">
      <c r="A44" s="458"/>
      <c r="B44" s="459"/>
      <c r="C44" s="459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1"/>
      <c r="T44" s="461"/>
    </row>
    <row r="45" spans="1:20" s="399" customFormat="1" ht="20.25" customHeight="1">
      <c r="A45" s="1042" t="s">
        <v>82</v>
      </c>
      <c r="B45" s="1045" t="s">
        <v>83</v>
      </c>
      <c r="C45" s="436" t="s">
        <v>21</v>
      </c>
      <c r="D45" s="437">
        <f>SUM(E45:Q45)</f>
        <v>407050</v>
      </c>
      <c r="E45" s="451">
        <v>0</v>
      </c>
      <c r="F45" s="451">
        <v>24050</v>
      </c>
      <c r="G45" s="452">
        <v>0</v>
      </c>
      <c r="H45" s="451">
        <v>0</v>
      </c>
      <c r="I45" s="453">
        <v>0</v>
      </c>
      <c r="J45" s="451">
        <v>0</v>
      </c>
      <c r="K45" s="453">
        <v>0</v>
      </c>
      <c r="L45" s="451">
        <v>0</v>
      </c>
      <c r="M45" s="451">
        <v>0</v>
      </c>
      <c r="N45" s="451">
        <v>383000</v>
      </c>
      <c r="O45" s="451">
        <v>0</v>
      </c>
      <c r="P45" s="452">
        <v>0</v>
      </c>
      <c r="Q45" s="451">
        <v>0</v>
      </c>
      <c r="T45" s="461"/>
    </row>
    <row r="46" spans="1:20" s="399" customFormat="1" ht="20.25" customHeight="1">
      <c r="A46" s="1043"/>
      <c r="B46" s="1046"/>
      <c r="C46" s="436" t="s">
        <v>22</v>
      </c>
      <c r="D46" s="437">
        <f t="shared" si="5"/>
        <v>-1045</v>
      </c>
      <c r="E46" s="442">
        <v>0</v>
      </c>
      <c r="F46" s="442">
        <f>-845-200</f>
        <v>-1045</v>
      </c>
      <c r="G46" s="443">
        <v>0</v>
      </c>
      <c r="H46" s="442">
        <v>0</v>
      </c>
      <c r="I46" s="443">
        <v>0</v>
      </c>
      <c r="J46" s="442">
        <v>0</v>
      </c>
      <c r="K46" s="444">
        <v>0</v>
      </c>
      <c r="L46" s="445">
        <v>0</v>
      </c>
      <c r="M46" s="445">
        <v>0</v>
      </c>
      <c r="N46" s="442">
        <v>0</v>
      </c>
      <c r="O46" s="442">
        <v>0</v>
      </c>
      <c r="P46" s="443">
        <v>0</v>
      </c>
      <c r="Q46" s="442">
        <v>0</v>
      </c>
      <c r="T46" s="461"/>
    </row>
    <row r="47" spans="1:20" s="399" customFormat="1" ht="20.25" customHeight="1">
      <c r="A47" s="1044"/>
      <c r="B47" s="1047"/>
      <c r="C47" s="436" t="s">
        <v>23</v>
      </c>
      <c r="D47" s="437">
        <f t="shared" si="5"/>
        <v>406005</v>
      </c>
      <c r="E47" s="442">
        <f t="shared" ref="E47:P47" si="9">E45+E46</f>
        <v>0</v>
      </c>
      <c r="F47" s="442">
        <f t="shared" si="9"/>
        <v>23005</v>
      </c>
      <c r="G47" s="442">
        <f t="shared" si="9"/>
        <v>0</v>
      </c>
      <c r="H47" s="442">
        <f t="shared" si="9"/>
        <v>0</v>
      </c>
      <c r="I47" s="442">
        <f t="shared" si="9"/>
        <v>0</v>
      </c>
      <c r="J47" s="442">
        <f t="shared" si="9"/>
        <v>0</v>
      </c>
      <c r="K47" s="442">
        <f t="shared" si="9"/>
        <v>0</v>
      </c>
      <c r="L47" s="442">
        <f t="shared" si="9"/>
        <v>0</v>
      </c>
      <c r="M47" s="442">
        <f t="shared" si="9"/>
        <v>0</v>
      </c>
      <c r="N47" s="442">
        <f t="shared" si="9"/>
        <v>383000</v>
      </c>
      <c r="O47" s="442">
        <f t="shared" si="9"/>
        <v>0</v>
      </c>
      <c r="P47" s="445">
        <f t="shared" si="9"/>
        <v>0</v>
      </c>
      <c r="Q47" s="442">
        <f>Q45+Q46</f>
        <v>0</v>
      </c>
      <c r="T47" s="461"/>
    </row>
    <row r="48" spans="1:20" s="399" customFormat="1" ht="4.5" hidden="1" customHeight="1">
      <c r="A48" s="458"/>
      <c r="B48" s="459"/>
      <c r="C48" s="459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1"/>
      <c r="T48" s="461"/>
    </row>
    <row r="49" spans="1:20" s="399" customFormat="1" ht="17.25" hidden="1" customHeight="1">
      <c r="A49" s="1042" t="s">
        <v>93</v>
      </c>
      <c r="B49" s="1045" t="s">
        <v>94</v>
      </c>
      <c r="C49" s="436" t="s">
        <v>21</v>
      </c>
      <c r="D49" s="437">
        <f>SUM(E49:Q49)</f>
        <v>800407</v>
      </c>
      <c r="E49" s="451">
        <v>0</v>
      </c>
      <c r="F49" s="451">
        <v>0</v>
      </c>
      <c r="G49" s="452">
        <v>0</v>
      </c>
      <c r="H49" s="451">
        <v>0</v>
      </c>
      <c r="I49" s="453">
        <v>0</v>
      </c>
      <c r="J49" s="451">
        <v>57555</v>
      </c>
      <c r="K49" s="453">
        <v>0</v>
      </c>
      <c r="L49" s="451">
        <v>0</v>
      </c>
      <c r="M49" s="451">
        <v>445</v>
      </c>
      <c r="N49" s="451">
        <v>0</v>
      </c>
      <c r="O49" s="451">
        <v>742407</v>
      </c>
      <c r="P49" s="452">
        <v>0</v>
      </c>
      <c r="Q49" s="451">
        <v>0</v>
      </c>
      <c r="R49" s="461"/>
      <c r="S49" s="461"/>
      <c r="T49" s="461"/>
    </row>
    <row r="50" spans="1:20" s="399" customFormat="1" ht="17.25" hidden="1" customHeight="1">
      <c r="A50" s="1043"/>
      <c r="B50" s="1046"/>
      <c r="C50" s="436" t="s">
        <v>22</v>
      </c>
      <c r="D50" s="437">
        <f t="shared" si="5"/>
        <v>0</v>
      </c>
      <c r="E50" s="442">
        <v>0</v>
      </c>
      <c r="F50" s="442">
        <v>0</v>
      </c>
      <c r="G50" s="443">
        <v>0</v>
      </c>
      <c r="H50" s="442">
        <v>0</v>
      </c>
      <c r="I50" s="443">
        <v>0</v>
      </c>
      <c r="J50" s="442">
        <v>0</v>
      </c>
      <c r="K50" s="444">
        <v>0</v>
      </c>
      <c r="L50" s="445">
        <v>0</v>
      </c>
      <c r="M50" s="445">
        <v>0</v>
      </c>
      <c r="N50" s="442">
        <v>0</v>
      </c>
      <c r="O50" s="442">
        <v>0</v>
      </c>
      <c r="P50" s="443">
        <v>0</v>
      </c>
      <c r="Q50" s="442">
        <v>0</v>
      </c>
      <c r="T50" s="461"/>
    </row>
    <row r="51" spans="1:20" s="399" customFormat="1" ht="17.25" hidden="1" customHeight="1">
      <c r="A51" s="1044"/>
      <c r="B51" s="1047"/>
      <c r="C51" s="436" t="s">
        <v>23</v>
      </c>
      <c r="D51" s="437">
        <f t="shared" si="5"/>
        <v>800407</v>
      </c>
      <c r="E51" s="442">
        <f t="shared" ref="E51:P51" si="10">E49+E50</f>
        <v>0</v>
      </c>
      <c r="F51" s="442">
        <f t="shared" si="10"/>
        <v>0</v>
      </c>
      <c r="G51" s="442">
        <f t="shared" si="10"/>
        <v>0</v>
      </c>
      <c r="H51" s="442">
        <f t="shared" si="10"/>
        <v>0</v>
      </c>
      <c r="I51" s="442">
        <f t="shared" si="10"/>
        <v>0</v>
      </c>
      <c r="J51" s="442">
        <f t="shared" si="10"/>
        <v>57555</v>
      </c>
      <c r="K51" s="442">
        <f t="shared" si="10"/>
        <v>0</v>
      </c>
      <c r="L51" s="442">
        <f t="shared" si="10"/>
        <v>0</v>
      </c>
      <c r="M51" s="442">
        <f t="shared" si="10"/>
        <v>445</v>
      </c>
      <c r="N51" s="442">
        <f t="shared" si="10"/>
        <v>0</v>
      </c>
      <c r="O51" s="442">
        <f t="shared" si="10"/>
        <v>742407</v>
      </c>
      <c r="P51" s="445">
        <f t="shared" si="10"/>
        <v>0</v>
      </c>
      <c r="Q51" s="442">
        <f>Q49+Q50</f>
        <v>0</v>
      </c>
      <c r="R51" s="461"/>
      <c r="T51" s="461"/>
    </row>
    <row r="52" spans="1:20" s="399" customFormat="1" ht="3.75" hidden="1" customHeight="1">
      <c r="A52" s="456"/>
      <c r="B52" s="457"/>
      <c r="C52" s="457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1"/>
      <c r="T52" s="461"/>
    </row>
    <row r="53" spans="1:20" s="454" customFormat="1" ht="18.75" hidden="1" customHeight="1">
      <c r="A53" s="1042" t="s">
        <v>101</v>
      </c>
      <c r="B53" s="1045" t="s">
        <v>102</v>
      </c>
      <c r="C53" s="436" t="s">
        <v>21</v>
      </c>
      <c r="D53" s="437">
        <f t="shared" ref="D53:D103" si="11">SUM(E53:Q53)</f>
        <v>2874675</v>
      </c>
      <c r="E53" s="451">
        <v>0</v>
      </c>
      <c r="F53" s="451">
        <v>141400</v>
      </c>
      <c r="G53" s="467">
        <v>163142</v>
      </c>
      <c r="H53" s="451">
        <v>1551173</v>
      </c>
      <c r="I53" s="453">
        <v>284809</v>
      </c>
      <c r="J53" s="451">
        <v>444351</v>
      </c>
      <c r="K53" s="453">
        <v>0</v>
      </c>
      <c r="L53" s="451">
        <v>0</v>
      </c>
      <c r="M53" s="451">
        <v>0</v>
      </c>
      <c r="N53" s="451">
        <v>287000</v>
      </c>
      <c r="O53" s="451">
        <v>0</v>
      </c>
      <c r="P53" s="452">
        <v>2800</v>
      </c>
      <c r="Q53" s="451">
        <v>0</v>
      </c>
      <c r="T53" s="455"/>
    </row>
    <row r="54" spans="1:20" s="454" customFormat="1" ht="18.75" hidden="1" customHeight="1">
      <c r="A54" s="1043"/>
      <c r="B54" s="1046"/>
      <c r="C54" s="436" t="s">
        <v>22</v>
      </c>
      <c r="D54" s="437">
        <f t="shared" si="11"/>
        <v>0</v>
      </c>
      <c r="E54" s="442">
        <v>0</v>
      </c>
      <c r="F54" s="442">
        <v>0</v>
      </c>
      <c r="G54" s="443">
        <v>0</v>
      </c>
      <c r="H54" s="442">
        <v>0</v>
      </c>
      <c r="I54" s="443">
        <v>0</v>
      </c>
      <c r="J54" s="442">
        <v>0</v>
      </c>
      <c r="K54" s="444">
        <v>0</v>
      </c>
      <c r="L54" s="445">
        <v>0</v>
      </c>
      <c r="M54" s="445">
        <v>0</v>
      </c>
      <c r="N54" s="442">
        <v>0</v>
      </c>
      <c r="O54" s="442">
        <v>0</v>
      </c>
      <c r="P54" s="443">
        <v>0</v>
      </c>
      <c r="Q54" s="442">
        <v>0</v>
      </c>
      <c r="T54" s="455"/>
    </row>
    <row r="55" spans="1:20" s="454" customFormat="1" ht="18.75" hidden="1" customHeight="1">
      <c r="A55" s="1044"/>
      <c r="B55" s="1047"/>
      <c r="C55" s="436" t="s">
        <v>23</v>
      </c>
      <c r="D55" s="437">
        <f t="shared" si="11"/>
        <v>2874675</v>
      </c>
      <c r="E55" s="442">
        <f t="shared" ref="E55:P55" si="12">E53+E54</f>
        <v>0</v>
      </c>
      <c r="F55" s="442">
        <f t="shared" si="12"/>
        <v>141400</v>
      </c>
      <c r="G55" s="442">
        <f t="shared" si="12"/>
        <v>163142</v>
      </c>
      <c r="H55" s="442">
        <f t="shared" si="12"/>
        <v>1551173</v>
      </c>
      <c r="I55" s="442">
        <f t="shared" si="12"/>
        <v>284809</v>
      </c>
      <c r="J55" s="442">
        <f t="shared" si="12"/>
        <v>444351</v>
      </c>
      <c r="K55" s="442">
        <f t="shared" si="12"/>
        <v>0</v>
      </c>
      <c r="L55" s="442">
        <f t="shared" si="12"/>
        <v>0</v>
      </c>
      <c r="M55" s="442">
        <f t="shared" si="12"/>
        <v>0</v>
      </c>
      <c r="N55" s="442">
        <f t="shared" si="12"/>
        <v>287000</v>
      </c>
      <c r="O55" s="442">
        <f t="shared" si="12"/>
        <v>0</v>
      </c>
      <c r="P55" s="445">
        <f t="shared" si="12"/>
        <v>2800</v>
      </c>
      <c r="Q55" s="442">
        <f>Q53+Q54</f>
        <v>0</v>
      </c>
      <c r="T55" s="455"/>
    </row>
    <row r="56" spans="1:20" s="454" customFormat="1" ht="3.75" hidden="1" customHeight="1">
      <c r="A56" s="456"/>
      <c r="B56" s="457"/>
      <c r="C56" s="457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3"/>
      <c r="T56" s="455"/>
    </row>
    <row r="57" spans="1:20" s="454" customFormat="1" ht="20.25" hidden="1" customHeight="1">
      <c r="A57" s="1042" t="s">
        <v>114</v>
      </c>
      <c r="B57" s="1045" t="s">
        <v>115</v>
      </c>
      <c r="C57" s="436" t="s">
        <v>21</v>
      </c>
      <c r="D57" s="437">
        <f>SUM(E57:Q57)</f>
        <v>5000</v>
      </c>
      <c r="E57" s="451">
        <v>0</v>
      </c>
      <c r="F57" s="451">
        <v>0</v>
      </c>
      <c r="G57" s="467">
        <v>0</v>
      </c>
      <c r="H57" s="451">
        <v>0</v>
      </c>
      <c r="I57" s="453">
        <v>0</v>
      </c>
      <c r="J57" s="451">
        <v>0</v>
      </c>
      <c r="K57" s="453">
        <v>0</v>
      </c>
      <c r="L57" s="451">
        <v>0</v>
      </c>
      <c r="M57" s="451">
        <v>0</v>
      </c>
      <c r="N57" s="451">
        <v>5000</v>
      </c>
      <c r="O57" s="451">
        <v>0</v>
      </c>
      <c r="P57" s="452">
        <v>0</v>
      </c>
      <c r="Q57" s="451">
        <v>0</v>
      </c>
      <c r="T57" s="455"/>
    </row>
    <row r="58" spans="1:20" s="454" customFormat="1" ht="20.25" hidden="1" customHeight="1">
      <c r="A58" s="1043"/>
      <c r="B58" s="1046"/>
      <c r="C58" s="436" t="s">
        <v>22</v>
      </c>
      <c r="D58" s="437">
        <f t="shared" si="11"/>
        <v>0</v>
      </c>
      <c r="E58" s="442">
        <v>0</v>
      </c>
      <c r="F58" s="442">
        <v>0</v>
      </c>
      <c r="G58" s="443">
        <v>0</v>
      </c>
      <c r="H58" s="442">
        <v>0</v>
      </c>
      <c r="I58" s="443">
        <v>0</v>
      </c>
      <c r="J58" s="442">
        <v>0</v>
      </c>
      <c r="K58" s="444">
        <v>0</v>
      </c>
      <c r="L58" s="445">
        <v>0</v>
      </c>
      <c r="M58" s="445">
        <v>0</v>
      </c>
      <c r="N58" s="442">
        <v>0</v>
      </c>
      <c r="O58" s="442">
        <v>0</v>
      </c>
      <c r="P58" s="443">
        <v>0</v>
      </c>
      <c r="Q58" s="442">
        <v>0</v>
      </c>
      <c r="T58" s="455"/>
    </row>
    <row r="59" spans="1:20" s="454" customFormat="1" ht="20.25" hidden="1" customHeight="1">
      <c r="A59" s="1044"/>
      <c r="B59" s="1047"/>
      <c r="C59" s="436" t="s">
        <v>23</v>
      </c>
      <c r="D59" s="437">
        <f t="shared" si="11"/>
        <v>5000</v>
      </c>
      <c r="E59" s="442">
        <f t="shared" ref="E59:P59" si="13">E57+E58</f>
        <v>0</v>
      </c>
      <c r="F59" s="442">
        <f t="shared" si="13"/>
        <v>0</v>
      </c>
      <c r="G59" s="442">
        <f t="shared" si="13"/>
        <v>0</v>
      </c>
      <c r="H59" s="442">
        <f t="shared" si="13"/>
        <v>0</v>
      </c>
      <c r="I59" s="442">
        <f t="shared" si="13"/>
        <v>0</v>
      </c>
      <c r="J59" s="442">
        <f t="shared" si="13"/>
        <v>0</v>
      </c>
      <c r="K59" s="442">
        <f t="shared" si="13"/>
        <v>0</v>
      </c>
      <c r="L59" s="442">
        <f t="shared" si="13"/>
        <v>0</v>
      </c>
      <c r="M59" s="442">
        <f t="shared" si="13"/>
        <v>0</v>
      </c>
      <c r="N59" s="442">
        <f t="shared" si="13"/>
        <v>5000</v>
      </c>
      <c r="O59" s="442">
        <f t="shared" si="13"/>
        <v>0</v>
      </c>
      <c r="P59" s="445">
        <f t="shared" si="13"/>
        <v>0</v>
      </c>
      <c r="Q59" s="442">
        <f>Q57+Q58</f>
        <v>0</v>
      </c>
      <c r="T59" s="455"/>
    </row>
    <row r="60" spans="1:20" s="454" customFormat="1" ht="5.0999999999999996" customHeight="1">
      <c r="A60" s="456"/>
      <c r="B60" s="457"/>
      <c r="C60" s="457"/>
      <c r="D60" s="452"/>
      <c r="E60" s="452"/>
      <c r="F60" s="452"/>
      <c r="G60" s="452"/>
      <c r="H60" s="452"/>
      <c r="I60" s="452"/>
      <c r="J60" s="452"/>
      <c r="K60" s="452"/>
      <c r="L60" s="452"/>
      <c r="M60" s="452"/>
      <c r="N60" s="452"/>
      <c r="O60" s="452"/>
      <c r="P60" s="452"/>
      <c r="Q60" s="451"/>
      <c r="T60" s="455"/>
    </row>
    <row r="61" spans="1:20" s="454" customFormat="1" ht="27" customHeight="1">
      <c r="A61" s="1042" t="s">
        <v>574</v>
      </c>
      <c r="B61" s="1045" t="s">
        <v>575</v>
      </c>
      <c r="C61" s="436" t="s">
        <v>21</v>
      </c>
      <c r="D61" s="437">
        <f>SUM(E61:Q61)</f>
        <v>283935521</v>
      </c>
      <c r="E61" s="451">
        <v>283224821</v>
      </c>
      <c r="F61" s="451">
        <v>710700</v>
      </c>
      <c r="G61" s="452">
        <v>0</v>
      </c>
      <c r="H61" s="451">
        <v>0</v>
      </c>
      <c r="I61" s="453">
        <v>0</v>
      </c>
      <c r="J61" s="451">
        <v>0</v>
      </c>
      <c r="K61" s="453">
        <v>0</v>
      </c>
      <c r="L61" s="451">
        <v>0</v>
      </c>
      <c r="M61" s="451">
        <v>0</v>
      </c>
      <c r="N61" s="451">
        <v>0</v>
      </c>
      <c r="O61" s="451">
        <v>0</v>
      </c>
      <c r="P61" s="452">
        <v>0</v>
      </c>
      <c r="Q61" s="451">
        <v>0</v>
      </c>
      <c r="T61" s="455"/>
    </row>
    <row r="62" spans="1:20" s="454" customFormat="1" ht="27" customHeight="1">
      <c r="A62" s="1043"/>
      <c r="B62" s="1046"/>
      <c r="C62" s="436" t="s">
        <v>22</v>
      </c>
      <c r="D62" s="437">
        <f t="shared" si="11"/>
        <v>-6396784</v>
      </c>
      <c r="E62" s="442">
        <v>-6396784</v>
      </c>
      <c r="F62" s="442">
        <v>0</v>
      </c>
      <c r="G62" s="443">
        <v>0</v>
      </c>
      <c r="H62" s="442">
        <v>0</v>
      </c>
      <c r="I62" s="443">
        <v>0</v>
      </c>
      <c r="J62" s="442">
        <v>0</v>
      </c>
      <c r="K62" s="444">
        <v>0</v>
      </c>
      <c r="L62" s="445">
        <v>0</v>
      </c>
      <c r="M62" s="445">
        <v>0</v>
      </c>
      <c r="N62" s="442">
        <v>0</v>
      </c>
      <c r="O62" s="442">
        <v>0</v>
      </c>
      <c r="P62" s="443">
        <v>0</v>
      </c>
      <c r="Q62" s="442">
        <v>0</v>
      </c>
      <c r="T62" s="455"/>
    </row>
    <row r="63" spans="1:20" s="454" customFormat="1" ht="27" customHeight="1">
      <c r="A63" s="1044"/>
      <c r="B63" s="1047"/>
      <c r="C63" s="436" t="s">
        <v>23</v>
      </c>
      <c r="D63" s="437">
        <f t="shared" si="11"/>
        <v>277538737</v>
      </c>
      <c r="E63" s="442">
        <f t="shared" ref="E63:P63" si="14">E61+E62</f>
        <v>276828037</v>
      </c>
      <c r="F63" s="442">
        <f t="shared" si="14"/>
        <v>710700</v>
      </c>
      <c r="G63" s="442">
        <f t="shared" si="14"/>
        <v>0</v>
      </c>
      <c r="H63" s="442">
        <f t="shared" si="14"/>
        <v>0</v>
      </c>
      <c r="I63" s="442">
        <f t="shared" si="14"/>
        <v>0</v>
      </c>
      <c r="J63" s="442">
        <f t="shared" si="14"/>
        <v>0</v>
      </c>
      <c r="K63" s="442">
        <f t="shared" si="14"/>
        <v>0</v>
      </c>
      <c r="L63" s="442">
        <f t="shared" si="14"/>
        <v>0</v>
      </c>
      <c r="M63" s="442">
        <f t="shared" si="14"/>
        <v>0</v>
      </c>
      <c r="N63" s="442">
        <f t="shared" si="14"/>
        <v>0</v>
      </c>
      <c r="O63" s="442">
        <f t="shared" si="14"/>
        <v>0</v>
      </c>
      <c r="P63" s="445">
        <f t="shared" si="14"/>
        <v>0</v>
      </c>
      <c r="Q63" s="442">
        <f>Q61+Q62</f>
        <v>0</v>
      </c>
      <c r="T63" s="455"/>
    </row>
    <row r="64" spans="1:20" s="454" customFormat="1" ht="5.0999999999999996" customHeight="1">
      <c r="A64" s="456"/>
      <c r="B64" s="457"/>
      <c r="C64" s="457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3"/>
      <c r="T64" s="455"/>
    </row>
    <row r="65" spans="1:20" s="454" customFormat="1" ht="18.75" customHeight="1">
      <c r="A65" s="1042" t="s">
        <v>127</v>
      </c>
      <c r="B65" s="1045" t="s">
        <v>128</v>
      </c>
      <c r="C65" s="436" t="s">
        <v>21</v>
      </c>
      <c r="D65" s="437">
        <f>SUM(E65:Q65)</f>
        <v>520123976</v>
      </c>
      <c r="E65" s="451">
        <v>302496090</v>
      </c>
      <c r="F65" s="451">
        <v>1714000</v>
      </c>
      <c r="G65" s="467">
        <v>149493219</v>
      </c>
      <c r="H65" s="451">
        <v>36753000</v>
      </c>
      <c r="I65" s="453">
        <v>29667667</v>
      </c>
      <c r="J65" s="451">
        <v>0</v>
      </c>
      <c r="K65" s="451">
        <v>0</v>
      </c>
      <c r="L65" s="451">
        <v>0</v>
      </c>
      <c r="M65" s="451">
        <v>0</v>
      </c>
      <c r="N65" s="451">
        <v>0</v>
      </c>
      <c r="O65" s="451">
        <v>0</v>
      </c>
      <c r="P65" s="467">
        <v>0</v>
      </c>
      <c r="Q65" s="451">
        <v>0</v>
      </c>
      <c r="T65" s="455"/>
    </row>
    <row r="66" spans="1:20" s="454" customFormat="1" ht="18.75" customHeight="1">
      <c r="A66" s="1043"/>
      <c r="B66" s="1046"/>
      <c r="C66" s="436" t="s">
        <v>22</v>
      </c>
      <c r="D66" s="437">
        <f t="shared" si="11"/>
        <v>-20823162</v>
      </c>
      <c r="E66" s="442">
        <f>427404+7757814</f>
        <v>8185218</v>
      </c>
      <c r="F66" s="442">
        <f>-1064000+254939</f>
        <v>-809061</v>
      </c>
      <c r="G66" s="443">
        <f>-6461126+3923704-3383296-18787944</f>
        <v>-24708662</v>
      </c>
      <c r="H66" s="442">
        <v>0</v>
      </c>
      <c r="I66" s="443">
        <f>107679-280860-1106140-2211336</f>
        <v>-3490657</v>
      </c>
      <c r="J66" s="442">
        <v>0</v>
      </c>
      <c r="K66" s="444">
        <v>0</v>
      </c>
      <c r="L66" s="445">
        <v>0</v>
      </c>
      <c r="M66" s="445">
        <v>0</v>
      </c>
      <c r="N66" s="442">
        <v>0</v>
      </c>
      <c r="O66" s="442">
        <v>0</v>
      </c>
      <c r="P66" s="443">
        <v>0</v>
      </c>
      <c r="Q66" s="442">
        <v>0</v>
      </c>
      <c r="T66" s="455"/>
    </row>
    <row r="67" spans="1:20" s="454" customFormat="1" ht="18.75" customHeight="1">
      <c r="A67" s="1044"/>
      <c r="B67" s="1047"/>
      <c r="C67" s="436" t="s">
        <v>23</v>
      </c>
      <c r="D67" s="437">
        <f t="shared" si="11"/>
        <v>499300814</v>
      </c>
      <c r="E67" s="442">
        <f t="shared" ref="E67:P67" si="15">E65+E66</f>
        <v>310681308</v>
      </c>
      <c r="F67" s="442">
        <f t="shared" si="15"/>
        <v>904939</v>
      </c>
      <c r="G67" s="442">
        <f t="shared" si="15"/>
        <v>124784557</v>
      </c>
      <c r="H67" s="442">
        <f t="shared" si="15"/>
        <v>36753000</v>
      </c>
      <c r="I67" s="442">
        <f t="shared" si="15"/>
        <v>26177010</v>
      </c>
      <c r="J67" s="442">
        <f t="shared" si="15"/>
        <v>0</v>
      </c>
      <c r="K67" s="442">
        <f t="shared" si="15"/>
        <v>0</v>
      </c>
      <c r="L67" s="442">
        <f t="shared" si="15"/>
        <v>0</v>
      </c>
      <c r="M67" s="442">
        <f t="shared" si="15"/>
        <v>0</v>
      </c>
      <c r="N67" s="442">
        <f t="shared" si="15"/>
        <v>0</v>
      </c>
      <c r="O67" s="442">
        <f t="shared" si="15"/>
        <v>0</v>
      </c>
      <c r="P67" s="445">
        <f t="shared" si="15"/>
        <v>0</v>
      </c>
      <c r="Q67" s="442">
        <f>Q65+Q66</f>
        <v>0</v>
      </c>
      <c r="T67" s="455"/>
    </row>
    <row r="68" spans="1:20" s="454" customFormat="1" ht="5.0999999999999996" customHeight="1">
      <c r="A68" s="456"/>
      <c r="B68" s="457"/>
      <c r="C68" s="457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3"/>
      <c r="T68" s="455"/>
    </row>
    <row r="69" spans="1:20" s="454" customFormat="1" ht="18.75" customHeight="1">
      <c r="A69" s="1042" t="s">
        <v>131</v>
      </c>
      <c r="B69" s="1045" t="s">
        <v>132</v>
      </c>
      <c r="C69" s="436" t="s">
        <v>21</v>
      </c>
      <c r="D69" s="437">
        <f>SUM(E69:Q69)</f>
        <v>2637925.0099999998</v>
      </c>
      <c r="E69" s="451">
        <v>0</v>
      </c>
      <c r="F69" s="451">
        <v>555310</v>
      </c>
      <c r="G69" s="452">
        <v>242478</v>
      </c>
      <c r="H69" s="451">
        <v>0</v>
      </c>
      <c r="I69" s="453">
        <v>36259</v>
      </c>
      <c r="J69" s="451">
        <v>0</v>
      </c>
      <c r="K69" s="453">
        <v>0</v>
      </c>
      <c r="L69" s="451">
        <v>519405</v>
      </c>
      <c r="M69" s="451">
        <v>0</v>
      </c>
      <c r="N69" s="451">
        <v>604473.01</v>
      </c>
      <c r="O69" s="451">
        <v>680000</v>
      </c>
      <c r="P69" s="452">
        <v>0</v>
      </c>
      <c r="Q69" s="451">
        <v>0</v>
      </c>
      <c r="T69" s="455"/>
    </row>
    <row r="70" spans="1:20" s="454" customFormat="1" ht="18.75" customHeight="1">
      <c r="A70" s="1043"/>
      <c r="B70" s="1046"/>
      <c r="C70" s="436" t="s">
        <v>22</v>
      </c>
      <c r="D70" s="437">
        <f t="shared" si="11"/>
        <v>472535</v>
      </c>
      <c r="E70" s="442">
        <v>0</v>
      </c>
      <c r="F70" s="442">
        <f>2000+1285</f>
        <v>3285</v>
      </c>
      <c r="G70" s="443">
        <v>0</v>
      </c>
      <c r="H70" s="442">
        <v>0</v>
      </c>
      <c r="I70" s="443">
        <v>0</v>
      </c>
      <c r="J70" s="442">
        <v>0</v>
      </c>
      <c r="K70" s="444">
        <v>0</v>
      </c>
      <c r="L70" s="445">
        <v>0</v>
      </c>
      <c r="M70" s="445">
        <v>0</v>
      </c>
      <c r="N70" s="442">
        <v>0</v>
      </c>
      <c r="O70" s="442">
        <v>469250</v>
      </c>
      <c r="P70" s="443">
        <v>0</v>
      </c>
      <c r="Q70" s="442">
        <v>0</v>
      </c>
      <c r="T70" s="455"/>
    </row>
    <row r="71" spans="1:20" s="454" customFormat="1" ht="18.75" customHeight="1">
      <c r="A71" s="1044"/>
      <c r="B71" s="1047"/>
      <c r="C71" s="436" t="s">
        <v>23</v>
      </c>
      <c r="D71" s="437">
        <f t="shared" si="11"/>
        <v>3110460.01</v>
      </c>
      <c r="E71" s="442">
        <f t="shared" ref="E71:P71" si="16">E69+E70</f>
        <v>0</v>
      </c>
      <c r="F71" s="442">
        <f t="shared" si="16"/>
        <v>558595</v>
      </c>
      <c r="G71" s="442">
        <f t="shared" si="16"/>
        <v>242478</v>
      </c>
      <c r="H71" s="442">
        <f t="shared" si="16"/>
        <v>0</v>
      </c>
      <c r="I71" s="442">
        <f t="shared" si="16"/>
        <v>36259</v>
      </c>
      <c r="J71" s="442">
        <f t="shared" si="16"/>
        <v>0</v>
      </c>
      <c r="K71" s="442">
        <f t="shared" si="16"/>
        <v>0</v>
      </c>
      <c r="L71" s="442">
        <f t="shared" si="16"/>
        <v>519405</v>
      </c>
      <c r="M71" s="442">
        <f t="shared" si="16"/>
        <v>0</v>
      </c>
      <c r="N71" s="442">
        <f t="shared" si="16"/>
        <v>604473.01</v>
      </c>
      <c r="O71" s="442">
        <f t="shared" si="16"/>
        <v>1149250</v>
      </c>
      <c r="P71" s="445">
        <f t="shared" si="16"/>
        <v>0</v>
      </c>
      <c r="Q71" s="442">
        <f>Q69+Q70</f>
        <v>0</v>
      </c>
      <c r="T71" s="455"/>
    </row>
    <row r="72" spans="1:20" s="454" customFormat="1" ht="5.0999999999999996" customHeight="1">
      <c r="A72" s="456"/>
      <c r="B72" s="457"/>
      <c r="C72" s="457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3"/>
      <c r="T72" s="455"/>
    </row>
    <row r="73" spans="1:20" s="454" customFormat="1" ht="17.25" customHeight="1">
      <c r="A73" s="1042" t="s">
        <v>158</v>
      </c>
      <c r="B73" s="1045" t="s">
        <v>159</v>
      </c>
      <c r="C73" s="436" t="s">
        <v>21</v>
      </c>
      <c r="D73" s="437">
        <f>SUM(E73:Q73)</f>
        <v>1266324</v>
      </c>
      <c r="E73" s="451">
        <v>0</v>
      </c>
      <c r="F73" s="451">
        <v>0</v>
      </c>
      <c r="G73" s="452">
        <v>0</v>
      </c>
      <c r="H73" s="451">
        <v>0</v>
      </c>
      <c r="I73" s="453">
        <v>0</v>
      </c>
      <c r="J73" s="451">
        <v>0</v>
      </c>
      <c r="K73" s="453">
        <v>0</v>
      </c>
      <c r="L73" s="451">
        <v>0</v>
      </c>
      <c r="M73" s="451">
        <v>0</v>
      </c>
      <c r="N73" s="451">
        <v>1161324</v>
      </c>
      <c r="O73" s="451">
        <v>105000</v>
      </c>
      <c r="P73" s="452">
        <v>0</v>
      </c>
      <c r="Q73" s="451">
        <v>0</v>
      </c>
      <c r="T73" s="455"/>
    </row>
    <row r="74" spans="1:20" s="454" customFormat="1" ht="17.25" customHeight="1">
      <c r="A74" s="1043"/>
      <c r="B74" s="1046"/>
      <c r="C74" s="436" t="s">
        <v>22</v>
      </c>
      <c r="D74" s="437">
        <f t="shared" si="11"/>
        <v>31018</v>
      </c>
      <c r="E74" s="442">
        <v>0</v>
      </c>
      <c r="F74" s="442">
        <v>35178</v>
      </c>
      <c r="G74" s="443">
        <v>0</v>
      </c>
      <c r="H74" s="442">
        <v>0</v>
      </c>
      <c r="I74" s="443">
        <v>0</v>
      </c>
      <c r="J74" s="442">
        <v>0</v>
      </c>
      <c r="K74" s="444">
        <v>0</v>
      </c>
      <c r="L74" s="445">
        <v>0</v>
      </c>
      <c r="M74" s="445">
        <v>0</v>
      </c>
      <c r="N74" s="442">
        <v>0</v>
      </c>
      <c r="O74" s="442">
        <v>-4160</v>
      </c>
      <c r="P74" s="443">
        <v>0</v>
      </c>
      <c r="Q74" s="442">
        <v>0</v>
      </c>
      <c r="T74" s="455"/>
    </row>
    <row r="75" spans="1:20" s="454" customFormat="1" ht="17.25" customHeight="1">
      <c r="A75" s="1044"/>
      <c r="B75" s="1047"/>
      <c r="C75" s="436" t="s">
        <v>23</v>
      </c>
      <c r="D75" s="437">
        <f>SUM(E75:Q75)</f>
        <v>1297342</v>
      </c>
      <c r="E75" s="442">
        <f t="shared" ref="E75:P75" si="17">E73+E74</f>
        <v>0</v>
      </c>
      <c r="F75" s="442">
        <f t="shared" si="17"/>
        <v>35178</v>
      </c>
      <c r="G75" s="442">
        <f t="shared" si="17"/>
        <v>0</v>
      </c>
      <c r="H75" s="442">
        <f t="shared" si="17"/>
        <v>0</v>
      </c>
      <c r="I75" s="442">
        <f t="shared" si="17"/>
        <v>0</v>
      </c>
      <c r="J75" s="442">
        <f t="shared" si="17"/>
        <v>0</v>
      </c>
      <c r="K75" s="442">
        <f t="shared" si="17"/>
        <v>0</v>
      </c>
      <c r="L75" s="442">
        <f t="shared" si="17"/>
        <v>0</v>
      </c>
      <c r="M75" s="442">
        <f t="shared" si="17"/>
        <v>0</v>
      </c>
      <c r="N75" s="442">
        <f t="shared" si="17"/>
        <v>1161324</v>
      </c>
      <c r="O75" s="442">
        <f t="shared" si="17"/>
        <v>100840</v>
      </c>
      <c r="P75" s="445">
        <f t="shared" si="17"/>
        <v>0</v>
      </c>
      <c r="Q75" s="442">
        <f>Q73+Q74</f>
        <v>0</v>
      </c>
      <c r="T75" s="455"/>
    </row>
    <row r="76" spans="1:20" s="454" customFormat="1" ht="5.0999999999999996" customHeight="1">
      <c r="A76" s="456"/>
      <c r="B76" s="457"/>
      <c r="C76" s="457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1"/>
      <c r="T76" s="455"/>
    </row>
    <row r="77" spans="1:20" s="454" customFormat="1" ht="18" customHeight="1">
      <c r="A77" s="1042" t="s">
        <v>282</v>
      </c>
      <c r="B77" s="1045" t="s">
        <v>169</v>
      </c>
      <c r="C77" s="436" t="s">
        <v>21</v>
      </c>
      <c r="D77" s="437">
        <f>SUM(E77:Q77)</f>
        <v>23733451</v>
      </c>
      <c r="E77" s="451">
        <v>0</v>
      </c>
      <c r="F77" s="451">
        <v>22325</v>
      </c>
      <c r="G77" s="452">
        <v>19893324</v>
      </c>
      <c r="H77" s="451">
        <v>0</v>
      </c>
      <c r="I77" s="453">
        <v>3639802</v>
      </c>
      <c r="J77" s="451">
        <v>0</v>
      </c>
      <c r="K77" s="453">
        <v>0</v>
      </c>
      <c r="L77" s="451">
        <v>0</v>
      </c>
      <c r="M77" s="451">
        <v>0</v>
      </c>
      <c r="N77" s="451">
        <v>100000</v>
      </c>
      <c r="O77" s="451">
        <v>78000</v>
      </c>
      <c r="P77" s="452">
        <v>0</v>
      </c>
      <c r="Q77" s="451">
        <v>0</v>
      </c>
      <c r="T77" s="455"/>
    </row>
    <row r="78" spans="1:20" s="454" customFormat="1" ht="18" customHeight="1">
      <c r="A78" s="1043"/>
      <c r="B78" s="1046"/>
      <c r="C78" s="436" t="s">
        <v>22</v>
      </c>
      <c r="D78" s="437">
        <f t="shared" si="11"/>
        <v>597</v>
      </c>
      <c r="E78" s="442">
        <v>0</v>
      </c>
      <c r="F78" s="442">
        <f>310+287</f>
        <v>597</v>
      </c>
      <c r="G78" s="443">
        <v>0</v>
      </c>
      <c r="H78" s="442">
        <v>0</v>
      </c>
      <c r="I78" s="443">
        <v>0</v>
      </c>
      <c r="J78" s="442">
        <v>0</v>
      </c>
      <c r="K78" s="444">
        <v>0</v>
      </c>
      <c r="L78" s="445">
        <v>0</v>
      </c>
      <c r="M78" s="445">
        <v>0</v>
      </c>
      <c r="N78" s="442">
        <v>0</v>
      </c>
      <c r="O78" s="442">
        <v>0</v>
      </c>
      <c r="P78" s="443">
        <v>0</v>
      </c>
      <c r="Q78" s="442">
        <v>0</v>
      </c>
      <c r="T78" s="455"/>
    </row>
    <row r="79" spans="1:20" s="454" customFormat="1" ht="18" customHeight="1">
      <c r="A79" s="1044"/>
      <c r="B79" s="1047"/>
      <c r="C79" s="436" t="s">
        <v>23</v>
      </c>
      <c r="D79" s="437">
        <f t="shared" si="11"/>
        <v>23734048</v>
      </c>
      <c r="E79" s="442">
        <f t="shared" ref="E79:P79" si="18">E77+E78</f>
        <v>0</v>
      </c>
      <c r="F79" s="442">
        <f t="shared" si="18"/>
        <v>22922</v>
      </c>
      <c r="G79" s="442">
        <f t="shared" si="18"/>
        <v>19893324</v>
      </c>
      <c r="H79" s="442">
        <f t="shared" si="18"/>
        <v>0</v>
      </c>
      <c r="I79" s="442">
        <f t="shared" si="18"/>
        <v>3639802</v>
      </c>
      <c r="J79" s="442">
        <f t="shared" si="18"/>
        <v>0</v>
      </c>
      <c r="K79" s="442">
        <f t="shared" si="18"/>
        <v>0</v>
      </c>
      <c r="L79" s="442">
        <f t="shared" si="18"/>
        <v>0</v>
      </c>
      <c r="M79" s="442">
        <f t="shared" si="18"/>
        <v>0</v>
      </c>
      <c r="N79" s="442">
        <f t="shared" si="18"/>
        <v>100000</v>
      </c>
      <c r="O79" s="442">
        <f t="shared" si="18"/>
        <v>78000</v>
      </c>
      <c r="P79" s="445">
        <f t="shared" si="18"/>
        <v>0</v>
      </c>
      <c r="Q79" s="442">
        <f>Q77+Q78</f>
        <v>0</v>
      </c>
      <c r="T79" s="455"/>
    </row>
    <row r="80" spans="1:20" s="454" customFormat="1" ht="5.0999999999999996" customHeight="1">
      <c r="A80" s="456"/>
      <c r="B80" s="457"/>
      <c r="C80" s="457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3"/>
      <c r="T80" s="455"/>
    </row>
    <row r="81" spans="1:20" s="454" customFormat="1" ht="18.75" customHeight="1">
      <c r="A81" s="1042" t="s">
        <v>286</v>
      </c>
      <c r="B81" s="1045" t="s">
        <v>576</v>
      </c>
      <c r="C81" s="436" t="s">
        <v>21</v>
      </c>
      <c r="D81" s="437">
        <f>SUM(E81:Q81)</f>
        <v>27310932</v>
      </c>
      <c r="E81" s="451">
        <v>0</v>
      </c>
      <c r="F81" s="451">
        <v>2566410</v>
      </c>
      <c r="G81" s="467">
        <v>15907530</v>
      </c>
      <c r="H81" s="451">
        <v>2640901</v>
      </c>
      <c r="I81" s="453">
        <v>6195091</v>
      </c>
      <c r="J81" s="451">
        <v>0</v>
      </c>
      <c r="K81" s="453">
        <v>0</v>
      </c>
      <c r="L81" s="451">
        <v>0</v>
      </c>
      <c r="M81" s="451">
        <v>0</v>
      </c>
      <c r="N81" s="451">
        <v>1000</v>
      </c>
      <c r="O81" s="451">
        <v>0</v>
      </c>
      <c r="P81" s="452">
        <v>0</v>
      </c>
      <c r="Q81" s="451">
        <v>0</v>
      </c>
      <c r="T81" s="455"/>
    </row>
    <row r="82" spans="1:20" s="454" customFormat="1" ht="18.75" customHeight="1">
      <c r="A82" s="1043"/>
      <c r="B82" s="1046"/>
      <c r="C82" s="436" t="s">
        <v>22</v>
      </c>
      <c r="D82" s="437">
        <f t="shared" si="11"/>
        <v>30566</v>
      </c>
      <c r="E82" s="442">
        <v>0</v>
      </c>
      <c r="F82" s="442">
        <f>25900+85262-80596</f>
        <v>30566</v>
      </c>
      <c r="G82" s="443">
        <v>0</v>
      </c>
      <c r="H82" s="442">
        <v>0</v>
      </c>
      <c r="I82" s="443">
        <v>0</v>
      </c>
      <c r="J82" s="442">
        <v>0</v>
      </c>
      <c r="K82" s="444">
        <v>0</v>
      </c>
      <c r="L82" s="445">
        <v>0</v>
      </c>
      <c r="M82" s="445">
        <v>0</v>
      </c>
      <c r="N82" s="442">
        <v>0</v>
      </c>
      <c r="O82" s="442">
        <v>0</v>
      </c>
      <c r="P82" s="443">
        <v>0</v>
      </c>
      <c r="Q82" s="442">
        <v>0</v>
      </c>
      <c r="T82" s="455"/>
    </row>
    <row r="83" spans="1:20" s="454" customFormat="1" ht="18.75" customHeight="1">
      <c r="A83" s="1044"/>
      <c r="B83" s="1047"/>
      <c r="C83" s="436" t="s">
        <v>23</v>
      </c>
      <c r="D83" s="437">
        <f t="shared" si="11"/>
        <v>27341498</v>
      </c>
      <c r="E83" s="442">
        <f t="shared" ref="E83:P83" si="19">E81+E82</f>
        <v>0</v>
      </c>
      <c r="F83" s="442">
        <f t="shared" si="19"/>
        <v>2596976</v>
      </c>
      <c r="G83" s="442">
        <f t="shared" si="19"/>
        <v>15907530</v>
      </c>
      <c r="H83" s="442">
        <f t="shared" si="19"/>
        <v>2640901</v>
      </c>
      <c r="I83" s="442">
        <f t="shared" si="19"/>
        <v>6195091</v>
      </c>
      <c r="J83" s="442">
        <f t="shared" si="19"/>
        <v>0</v>
      </c>
      <c r="K83" s="442">
        <f t="shared" si="19"/>
        <v>0</v>
      </c>
      <c r="L83" s="442">
        <f t="shared" si="19"/>
        <v>0</v>
      </c>
      <c r="M83" s="442">
        <f t="shared" si="19"/>
        <v>0</v>
      </c>
      <c r="N83" s="442">
        <f t="shared" si="19"/>
        <v>1000</v>
      </c>
      <c r="O83" s="442">
        <f t="shared" si="19"/>
        <v>0</v>
      </c>
      <c r="P83" s="445">
        <f t="shared" si="19"/>
        <v>0</v>
      </c>
      <c r="Q83" s="442">
        <f>Q81+Q82</f>
        <v>0</v>
      </c>
      <c r="T83" s="455"/>
    </row>
    <row r="84" spans="1:20" s="454" customFormat="1" ht="5.0999999999999996" customHeight="1">
      <c r="A84" s="456"/>
      <c r="B84" s="457"/>
      <c r="C84" s="457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3"/>
      <c r="T84" s="455"/>
    </row>
    <row r="85" spans="1:20" s="454" customFormat="1" ht="20.25" customHeight="1">
      <c r="A85" s="1042" t="s">
        <v>290</v>
      </c>
      <c r="B85" s="1045" t="s">
        <v>291</v>
      </c>
      <c r="C85" s="436" t="s">
        <v>21</v>
      </c>
      <c r="D85" s="437">
        <f>SUM(E85:Q85)</f>
        <v>6320</v>
      </c>
      <c r="E85" s="451">
        <v>0</v>
      </c>
      <c r="F85" s="451">
        <v>6320</v>
      </c>
      <c r="G85" s="467">
        <v>0</v>
      </c>
      <c r="H85" s="451">
        <v>0</v>
      </c>
      <c r="I85" s="452">
        <v>0</v>
      </c>
      <c r="J85" s="451">
        <v>0</v>
      </c>
      <c r="K85" s="453">
        <v>0</v>
      </c>
      <c r="L85" s="467">
        <v>0</v>
      </c>
      <c r="M85" s="451">
        <v>0</v>
      </c>
      <c r="N85" s="451">
        <v>0</v>
      </c>
      <c r="O85" s="451">
        <v>0</v>
      </c>
      <c r="P85" s="452">
        <v>0</v>
      </c>
      <c r="Q85" s="451">
        <v>0</v>
      </c>
      <c r="T85" s="455"/>
    </row>
    <row r="86" spans="1:20" s="454" customFormat="1" ht="20.25" customHeight="1">
      <c r="A86" s="1043"/>
      <c r="B86" s="1046"/>
      <c r="C86" s="436" t="s">
        <v>22</v>
      </c>
      <c r="D86" s="437">
        <f t="shared" si="11"/>
        <v>19000</v>
      </c>
      <c r="E86" s="442">
        <v>0</v>
      </c>
      <c r="F86" s="442">
        <v>19000</v>
      </c>
      <c r="G86" s="443">
        <v>0</v>
      </c>
      <c r="H86" s="442">
        <v>0</v>
      </c>
      <c r="I86" s="443">
        <v>0</v>
      </c>
      <c r="J86" s="442">
        <v>0</v>
      </c>
      <c r="K86" s="444">
        <v>0</v>
      </c>
      <c r="L86" s="445">
        <v>0</v>
      </c>
      <c r="M86" s="445">
        <v>0</v>
      </c>
      <c r="N86" s="442">
        <v>0</v>
      </c>
      <c r="O86" s="442">
        <v>0</v>
      </c>
      <c r="P86" s="443">
        <v>0</v>
      </c>
      <c r="Q86" s="442">
        <v>0</v>
      </c>
      <c r="T86" s="455"/>
    </row>
    <row r="87" spans="1:20" s="454" customFormat="1" ht="20.25" customHeight="1">
      <c r="A87" s="1044"/>
      <c r="B87" s="1047"/>
      <c r="C87" s="436" t="s">
        <v>23</v>
      </c>
      <c r="D87" s="437">
        <f t="shared" si="11"/>
        <v>25320</v>
      </c>
      <c r="E87" s="442">
        <f t="shared" ref="E87:P87" si="20">E85+E86</f>
        <v>0</v>
      </c>
      <c r="F87" s="442">
        <f t="shared" si="20"/>
        <v>25320</v>
      </c>
      <c r="G87" s="442">
        <f t="shared" si="20"/>
        <v>0</v>
      </c>
      <c r="H87" s="442">
        <f t="shared" si="20"/>
        <v>0</v>
      </c>
      <c r="I87" s="442">
        <f t="shared" si="20"/>
        <v>0</v>
      </c>
      <c r="J87" s="442">
        <f t="shared" si="20"/>
        <v>0</v>
      </c>
      <c r="K87" s="442">
        <f t="shared" si="20"/>
        <v>0</v>
      </c>
      <c r="L87" s="442">
        <f t="shared" si="20"/>
        <v>0</v>
      </c>
      <c r="M87" s="442">
        <f t="shared" si="20"/>
        <v>0</v>
      </c>
      <c r="N87" s="442">
        <f t="shared" si="20"/>
        <v>0</v>
      </c>
      <c r="O87" s="442">
        <f t="shared" si="20"/>
        <v>0</v>
      </c>
      <c r="P87" s="445">
        <f t="shared" si="20"/>
        <v>0</v>
      </c>
      <c r="Q87" s="442">
        <f>Q85+Q86</f>
        <v>0</v>
      </c>
      <c r="T87" s="455"/>
    </row>
    <row r="88" spans="1:20" s="454" customFormat="1" ht="20.25" hidden="1" customHeight="1">
      <c r="A88" s="456"/>
      <c r="B88" s="457"/>
      <c r="C88" s="457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1"/>
      <c r="T88" s="455"/>
    </row>
    <row r="89" spans="1:20" s="454" customFormat="1" ht="18.75" hidden="1" customHeight="1">
      <c r="A89" s="1042" t="s">
        <v>449</v>
      </c>
      <c r="B89" s="1045" t="s">
        <v>186</v>
      </c>
      <c r="C89" s="436" t="s">
        <v>21</v>
      </c>
      <c r="D89" s="437">
        <f>SUM(E89:Q89)</f>
        <v>3071280</v>
      </c>
      <c r="E89" s="451">
        <v>0</v>
      </c>
      <c r="F89" s="451">
        <v>0</v>
      </c>
      <c r="G89" s="467">
        <v>0</v>
      </c>
      <c r="H89" s="451">
        <v>0</v>
      </c>
      <c r="I89" s="452">
        <v>0</v>
      </c>
      <c r="J89" s="451">
        <v>0</v>
      </c>
      <c r="K89" s="453">
        <v>0</v>
      </c>
      <c r="L89" s="467">
        <v>0</v>
      </c>
      <c r="M89" s="451">
        <v>0</v>
      </c>
      <c r="N89" s="451">
        <v>3071280</v>
      </c>
      <c r="O89" s="451">
        <v>0</v>
      </c>
      <c r="P89" s="452">
        <v>0</v>
      </c>
      <c r="Q89" s="451">
        <v>0</v>
      </c>
      <c r="T89" s="455"/>
    </row>
    <row r="90" spans="1:20" s="454" customFormat="1" ht="18.75" hidden="1" customHeight="1">
      <c r="A90" s="1043"/>
      <c r="B90" s="1046"/>
      <c r="C90" s="436" t="s">
        <v>22</v>
      </c>
      <c r="D90" s="437">
        <f t="shared" si="11"/>
        <v>0</v>
      </c>
      <c r="E90" s="442">
        <v>0</v>
      </c>
      <c r="F90" s="442">
        <v>0</v>
      </c>
      <c r="G90" s="443">
        <v>0</v>
      </c>
      <c r="H90" s="442">
        <v>0</v>
      </c>
      <c r="I90" s="443">
        <v>0</v>
      </c>
      <c r="J90" s="442">
        <v>0</v>
      </c>
      <c r="K90" s="444">
        <v>0</v>
      </c>
      <c r="L90" s="445">
        <v>0</v>
      </c>
      <c r="M90" s="445">
        <v>0</v>
      </c>
      <c r="N90" s="442">
        <v>0</v>
      </c>
      <c r="O90" s="442">
        <v>0</v>
      </c>
      <c r="P90" s="443">
        <v>0</v>
      </c>
      <c r="Q90" s="442">
        <v>0</v>
      </c>
      <c r="T90" s="455"/>
    </row>
    <row r="91" spans="1:20" s="454" customFormat="1" ht="18.75" hidden="1" customHeight="1">
      <c r="A91" s="1044"/>
      <c r="B91" s="1047"/>
      <c r="C91" s="436" t="s">
        <v>23</v>
      </c>
      <c r="D91" s="437">
        <f t="shared" si="11"/>
        <v>3071280</v>
      </c>
      <c r="E91" s="442">
        <f t="shared" ref="E91:P91" si="21">E89+E90</f>
        <v>0</v>
      </c>
      <c r="F91" s="442">
        <f t="shared" si="21"/>
        <v>0</v>
      </c>
      <c r="G91" s="442">
        <f t="shared" si="21"/>
        <v>0</v>
      </c>
      <c r="H91" s="442">
        <f t="shared" si="21"/>
        <v>0</v>
      </c>
      <c r="I91" s="442">
        <f t="shared" si="21"/>
        <v>0</v>
      </c>
      <c r="J91" s="442">
        <f t="shared" si="21"/>
        <v>0</v>
      </c>
      <c r="K91" s="442">
        <f t="shared" si="21"/>
        <v>0</v>
      </c>
      <c r="L91" s="442">
        <f t="shared" si="21"/>
        <v>0</v>
      </c>
      <c r="M91" s="442">
        <f t="shared" si="21"/>
        <v>0</v>
      </c>
      <c r="N91" s="442">
        <f t="shared" si="21"/>
        <v>3071280</v>
      </c>
      <c r="O91" s="442">
        <f t="shared" si="21"/>
        <v>0</v>
      </c>
      <c r="P91" s="445">
        <f t="shared" si="21"/>
        <v>0</v>
      </c>
      <c r="Q91" s="442">
        <f>Q89+Q90</f>
        <v>0</v>
      </c>
      <c r="T91" s="455"/>
    </row>
    <row r="92" spans="1:20" s="454" customFormat="1" ht="5.0999999999999996" customHeight="1">
      <c r="A92" s="462"/>
      <c r="B92" s="468"/>
      <c r="C92" s="457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1"/>
      <c r="T92" s="455"/>
    </row>
    <row r="93" spans="1:20" s="454" customFormat="1" ht="20.25" customHeight="1">
      <c r="A93" s="1042" t="s">
        <v>388</v>
      </c>
      <c r="B93" s="1045" t="s">
        <v>188</v>
      </c>
      <c r="C93" s="436" t="s">
        <v>21</v>
      </c>
      <c r="D93" s="437">
        <f>SUM(E93:Q93)</f>
        <v>3833652</v>
      </c>
      <c r="E93" s="451">
        <v>0</v>
      </c>
      <c r="F93" s="451">
        <v>1203263</v>
      </c>
      <c r="G93" s="467">
        <v>626378</v>
      </c>
      <c r="H93" s="451">
        <v>0</v>
      </c>
      <c r="I93" s="452">
        <v>0</v>
      </c>
      <c r="J93" s="451">
        <v>0</v>
      </c>
      <c r="K93" s="453">
        <v>695954</v>
      </c>
      <c r="L93" s="467">
        <v>346057</v>
      </c>
      <c r="M93" s="451">
        <v>0</v>
      </c>
      <c r="N93" s="451">
        <v>774000</v>
      </c>
      <c r="O93" s="451">
        <v>0</v>
      </c>
      <c r="P93" s="452">
        <v>188000</v>
      </c>
      <c r="Q93" s="451">
        <v>0</v>
      </c>
      <c r="T93" s="455"/>
    </row>
    <row r="94" spans="1:20" s="454" customFormat="1" ht="20.25" customHeight="1">
      <c r="A94" s="1043"/>
      <c r="B94" s="1046"/>
      <c r="C94" s="436" t="s">
        <v>22</v>
      </c>
      <c r="D94" s="437">
        <f t="shared" si="11"/>
        <v>-50000</v>
      </c>
      <c r="E94" s="442">
        <v>0</v>
      </c>
      <c r="F94" s="442">
        <v>-50000</v>
      </c>
      <c r="G94" s="443">
        <v>0</v>
      </c>
      <c r="H94" s="442">
        <v>0</v>
      </c>
      <c r="I94" s="443">
        <v>0</v>
      </c>
      <c r="J94" s="442">
        <v>0</v>
      </c>
      <c r="K94" s="444">
        <v>0</v>
      </c>
      <c r="L94" s="445">
        <v>0</v>
      </c>
      <c r="M94" s="445">
        <v>0</v>
      </c>
      <c r="N94" s="442">
        <v>0</v>
      </c>
      <c r="O94" s="442">
        <v>0</v>
      </c>
      <c r="P94" s="443">
        <v>0</v>
      </c>
      <c r="Q94" s="442">
        <v>0</v>
      </c>
      <c r="T94" s="455"/>
    </row>
    <row r="95" spans="1:20" s="454" customFormat="1" ht="20.25" customHeight="1">
      <c r="A95" s="1044"/>
      <c r="B95" s="1047"/>
      <c r="C95" s="436" t="s">
        <v>23</v>
      </c>
      <c r="D95" s="437">
        <f t="shared" si="11"/>
        <v>3783652</v>
      </c>
      <c r="E95" s="442">
        <f t="shared" ref="E95:P95" si="22">E93+E94</f>
        <v>0</v>
      </c>
      <c r="F95" s="442">
        <f t="shared" si="22"/>
        <v>1153263</v>
      </c>
      <c r="G95" s="442">
        <f t="shared" si="22"/>
        <v>626378</v>
      </c>
      <c r="H95" s="442">
        <f t="shared" si="22"/>
        <v>0</v>
      </c>
      <c r="I95" s="442">
        <f t="shared" si="22"/>
        <v>0</v>
      </c>
      <c r="J95" s="442">
        <f t="shared" si="22"/>
        <v>0</v>
      </c>
      <c r="K95" s="442">
        <f t="shared" si="22"/>
        <v>695954</v>
      </c>
      <c r="L95" s="442">
        <f t="shared" si="22"/>
        <v>346057</v>
      </c>
      <c r="M95" s="442">
        <f t="shared" si="22"/>
        <v>0</v>
      </c>
      <c r="N95" s="442">
        <f t="shared" si="22"/>
        <v>774000</v>
      </c>
      <c r="O95" s="442">
        <f t="shared" si="22"/>
        <v>0</v>
      </c>
      <c r="P95" s="445">
        <f t="shared" si="22"/>
        <v>188000</v>
      </c>
      <c r="Q95" s="442">
        <f>Q93+Q94</f>
        <v>0</v>
      </c>
      <c r="T95" s="455"/>
    </row>
    <row r="96" spans="1:20" s="454" customFormat="1" ht="5.0999999999999996" customHeight="1">
      <c r="A96" s="456"/>
      <c r="B96" s="457"/>
      <c r="C96" s="457"/>
      <c r="D96" s="452"/>
      <c r="E96" s="452"/>
      <c r="F96" s="452"/>
      <c r="G96" s="452"/>
      <c r="H96" s="452"/>
      <c r="I96" s="452"/>
      <c r="J96" s="452"/>
      <c r="K96" s="452"/>
      <c r="L96" s="452"/>
      <c r="M96" s="452"/>
      <c r="N96" s="452"/>
      <c r="O96" s="452"/>
      <c r="P96" s="452"/>
      <c r="Q96" s="453"/>
      <c r="T96" s="455"/>
    </row>
    <row r="97" spans="1:20" s="454" customFormat="1" ht="17.25" hidden="1" customHeight="1">
      <c r="A97" s="1042" t="s">
        <v>300</v>
      </c>
      <c r="B97" s="1045" t="s">
        <v>197</v>
      </c>
      <c r="C97" s="436" t="s">
        <v>21</v>
      </c>
      <c r="D97" s="437">
        <f>SUM(E97:Q97)</f>
        <v>4139722</v>
      </c>
      <c r="E97" s="451">
        <v>0</v>
      </c>
      <c r="F97" s="451">
        <v>1</v>
      </c>
      <c r="G97" s="467">
        <v>0</v>
      </c>
      <c r="H97" s="451">
        <v>0</v>
      </c>
      <c r="I97" s="452">
        <v>0</v>
      </c>
      <c r="J97" s="451">
        <v>0</v>
      </c>
      <c r="K97" s="453">
        <v>0</v>
      </c>
      <c r="L97" s="467">
        <v>239857</v>
      </c>
      <c r="M97" s="451">
        <v>0</v>
      </c>
      <c r="N97" s="451">
        <v>0</v>
      </c>
      <c r="O97" s="451">
        <v>3899864</v>
      </c>
      <c r="P97" s="452">
        <v>0</v>
      </c>
      <c r="Q97" s="451">
        <v>0</v>
      </c>
      <c r="T97" s="455"/>
    </row>
    <row r="98" spans="1:20" s="454" customFormat="1" ht="17.25" hidden="1" customHeight="1">
      <c r="A98" s="1043"/>
      <c r="B98" s="1046"/>
      <c r="C98" s="436" t="s">
        <v>22</v>
      </c>
      <c r="D98" s="437">
        <f t="shared" si="11"/>
        <v>0</v>
      </c>
      <c r="E98" s="442">
        <v>0</v>
      </c>
      <c r="F98" s="442">
        <v>0</v>
      </c>
      <c r="G98" s="443">
        <v>0</v>
      </c>
      <c r="H98" s="442">
        <v>0</v>
      </c>
      <c r="I98" s="443">
        <v>0</v>
      </c>
      <c r="J98" s="442">
        <v>0</v>
      </c>
      <c r="K98" s="444">
        <v>0</v>
      </c>
      <c r="L98" s="445">
        <v>0</v>
      </c>
      <c r="M98" s="445">
        <v>0</v>
      </c>
      <c r="N98" s="442">
        <v>0</v>
      </c>
      <c r="O98" s="442">
        <v>0</v>
      </c>
      <c r="P98" s="443">
        <v>0</v>
      </c>
      <c r="Q98" s="442">
        <v>0</v>
      </c>
      <c r="T98" s="455"/>
    </row>
    <row r="99" spans="1:20" s="454" customFormat="1" ht="17.25" hidden="1" customHeight="1">
      <c r="A99" s="1044"/>
      <c r="B99" s="1047"/>
      <c r="C99" s="436" t="s">
        <v>23</v>
      </c>
      <c r="D99" s="437">
        <f t="shared" si="11"/>
        <v>4139722</v>
      </c>
      <c r="E99" s="442">
        <f t="shared" ref="E99:P99" si="23">E97+E98</f>
        <v>0</v>
      </c>
      <c r="F99" s="442">
        <f t="shared" si="23"/>
        <v>1</v>
      </c>
      <c r="G99" s="442">
        <f t="shared" si="23"/>
        <v>0</v>
      </c>
      <c r="H99" s="442">
        <f t="shared" si="23"/>
        <v>0</v>
      </c>
      <c r="I99" s="442">
        <f t="shared" si="23"/>
        <v>0</v>
      </c>
      <c r="J99" s="442">
        <f t="shared" si="23"/>
        <v>0</v>
      </c>
      <c r="K99" s="442">
        <f t="shared" si="23"/>
        <v>0</v>
      </c>
      <c r="L99" s="442">
        <f t="shared" si="23"/>
        <v>239857</v>
      </c>
      <c r="M99" s="442">
        <f t="shared" si="23"/>
        <v>0</v>
      </c>
      <c r="N99" s="442">
        <f t="shared" si="23"/>
        <v>0</v>
      </c>
      <c r="O99" s="442">
        <f t="shared" si="23"/>
        <v>3899864</v>
      </c>
      <c r="P99" s="445">
        <f t="shared" si="23"/>
        <v>0</v>
      </c>
      <c r="Q99" s="442">
        <f>Q97+Q98</f>
        <v>0</v>
      </c>
      <c r="T99" s="455"/>
    </row>
    <row r="100" spans="1:20" s="454" customFormat="1" ht="4.5" hidden="1" customHeight="1">
      <c r="A100" s="456"/>
      <c r="B100" s="457"/>
      <c r="C100" s="457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3"/>
      <c r="T100" s="455"/>
    </row>
    <row r="101" spans="1:20" s="454" customFormat="1" ht="18.75" customHeight="1">
      <c r="A101" s="1042" t="s">
        <v>335</v>
      </c>
      <c r="B101" s="1045" t="s">
        <v>207</v>
      </c>
      <c r="C101" s="436" t="s">
        <v>21</v>
      </c>
      <c r="D101" s="437">
        <f>SUM(E101:Q101)</f>
        <v>2543869</v>
      </c>
      <c r="E101" s="451">
        <v>0</v>
      </c>
      <c r="F101" s="451">
        <v>189349</v>
      </c>
      <c r="G101" s="467">
        <v>0</v>
      </c>
      <c r="H101" s="451">
        <v>0</v>
      </c>
      <c r="I101" s="453">
        <v>0</v>
      </c>
      <c r="J101" s="451">
        <v>0</v>
      </c>
      <c r="K101" s="451">
        <v>0</v>
      </c>
      <c r="L101" s="451">
        <v>0</v>
      </c>
      <c r="M101" s="451">
        <v>0</v>
      </c>
      <c r="N101" s="451">
        <v>2180000</v>
      </c>
      <c r="O101" s="451">
        <v>0</v>
      </c>
      <c r="P101" s="467">
        <v>174520</v>
      </c>
      <c r="Q101" s="451">
        <v>0</v>
      </c>
      <c r="T101" s="455"/>
    </row>
    <row r="102" spans="1:20" s="454" customFormat="1" ht="18.75" customHeight="1">
      <c r="A102" s="1043"/>
      <c r="B102" s="1046"/>
      <c r="C102" s="436" t="s">
        <v>22</v>
      </c>
      <c r="D102" s="437">
        <f t="shared" si="11"/>
        <v>37352</v>
      </c>
      <c r="E102" s="442">
        <v>0</v>
      </c>
      <c r="F102" s="442">
        <v>37352</v>
      </c>
      <c r="G102" s="443">
        <v>0</v>
      </c>
      <c r="H102" s="442">
        <v>0</v>
      </c>
      <c r="I102" s="443">
        <v>0</v>
      </c>
      <c r="J102" s="442">
        <v>0</v>
      </c>
      <c r="K102" s="444">
        <v>0</v>
      </c>
      <c r="L102" s="445">
        <v>0</v>
      </c>
      <c r="M102" s="445">
        <v>0</v>
      </c>
      <c r="N102" s="442">
        <v>0</v>
      </c>
      <c r="O102" s="442">
        <v>0</v>
      </c>
      <c r="P102" s="443">
        <v>0</v>
      </c>
      <c r="Q102" s="442">
        <v>0</v>
      </c>
      <c r="T102" s="455"/>
    </row>
    <row r="103" spans="1:20" s="454" customFormat="1" ht="18.75" customHeight="1">
      <c r="A103" s="1044"/>
      <c r="B103" s="1047"/>
      <c r="C103" s="436" t="s">
        <v>23</v>
      </c>
      <c r="D103" s="437">
        <f t="shared" si="11"/>
        <v>2581221</v>
      </c>
      <c r="E103" s="442">
        <f t="shared" ref="E103:P103" si="24">E101+E102</f>
        <v>0</v>
      </c>
      <c r="F103" s="442">
        <f t="shared" si="24"/>
        <v>226701</v>
      </c>
      <c r="G103" s="442">
        <f t="shared" si="24"/>
        <v>0</v>
      </c>
      <c r="H103" s="442">
        <f t="shared" si="24"/>
        <v>0</v>
      </c>
      <c r="I103" s="442">
        <f t="shared" si="24"/>
        <v>0</v>
      </c>
      <c r="J103" s="442">
        <f t="shared" si="24"/>
        <v>0</v>
      </c>
      <c r="K103" s="442">
        <f t="shared" si="24"/>
        <v>0</v>
      </c>
      <c r="L103" s="442">
        <f t="shared" si="24"/>
        <v>0</v>
      </c>
      <c r="M103" s="442">
        <f t="shared" si="24"/>
        <v>0</v>
      </c>
      <c r="N103" s="442">
        <f t="shared" si="24"/>
        <v>2180000</v>
      </c>
      <c r="O103" s="442">
        <f t="shared" si="24"/>
        <v>0</v>
      </c>
      <c r="P103" s="445">
        <f t="shared" si="24"/>
        <v>174520</v>
      </c>
      <c r="Q103" s="442">
        <f>Q101+Q102</f>
        <v>0</v>
      </c>
      <c r="T103" s="455"/>
    </row>
    <row r="104" spans="1:20" s="434" customFormat="1" ht="5.0999999999999996" customHeight="1">
      <c r="A104" s="408"/>
      <c r="B104" s="428"/>
      <c r="C104" s="468"/>
      <c r="D104" s="429"/>
      <c r="E104" s="430"/>
      <c r="F104" s="431"/>
      <c r="G104" s="431"/>
      <c r="H104" s="432"/>
      <c r="I104" s="431"/>
      <c r="J104" s="431"/>
      <c r="K104" s="433"/>
      <c r="L104" s="431"/>
      <c r="M104" s="431"/>
      <c r="N104" s="431"/>
      <c r="O104" s="431"/>
      <c r="P104" s="431"/>
      <c r="Q104" s="469"/>
      <c r="T104" s="435"/>
    </row>
    <row r="105" spans="1:20" s="426" customFormat="1" ht="17.25" customHeight="1">
      <c r="A105" s="1028"/>
      <c r="B105" s="1048" t="s">
        <v>577</v>
      </c>
      <c r="C105" s="470" t="s">
        <v>21</v>
      </c>
      <c r="D105" s="424">
        <f>SUM(E105:P105)</f>
        <v>259362306</v>
      </c>
      <c r="E105" s="471">
        <f>E109+E117+E121+E125+E129+E133+E145+E149+E157+E153+E137+E113+E141</f>
        <v>1144791</v>
      </c>
      <c r="F105" s="471">
        <f t="shared" ref="F105:Q105" si="25">F109+F117+F121+F125+F129+F133+F145+F149+F157+F153+F137+F113+F141</f>
        <v>285166</v>
      </c>
      <c r="G105" s="471">
        <f t="shared" si="25"/>
        <v>220148184</v>
      </c>
      <c r="H105" s="471">
        <f t="shared" si="25"/>
        <v>57598</v>
      </c>
      <c r="I105" s="471">
        <f t="shared" si="25"/>
        <v>24772125</v>
      </c>
      <c r="J105" s="471">
        <f t="shared" si="25"/>
        <v>3153057</v>
      </c>
      <c r="K105" s="471">
        <f t="shared" si="25"/>
        <v>480958</v>
      </c>
      <c r="L105" s="471">
        <f t="shared" si="25"/>
        <v>0</v>
      </c>
      <c r="M105" s="471">
        <f t="shared" si="25"/>
        <v>25238</v>
      </c>
      <c r="N105" s="471">
        <f t="shared" si="25"/>
        <v>6006354</v>
      </c>
      <c r="O105" s="471">
        <f t="shared" si="25"/>
        <v>3128621</v>
      </c>
      <c r="P105" s="471">
        <f t="shared" si="25"/>
        <v>160214</v>
      </c>
      <c r="Q105" s="471">
        <f t="shared" si="25"/>
        <v>0</v>
      </c>
      <c r="T105" s="427"/>
    </row>
    <row r="106" spans="1:20" s="426" customFormat="1" ht="17.25" customHeight="1">
      <c r="A106" s="1029"/>
      <c r="B106" s="1049"/>
      <c r="C106" s="470" t="s">
        <v>22</v>
      </c>
      <c r="D106" s="424">
        <f>SUM(E106:P106)</f>
        <v>-76942966</v>
      </c>
      <c r="E106" s="471">
        <f t="shared" ref="E106:Q107" si="26">E110+E118+E122+E126+E130+E134+E146+E150+E158+E154+E138+E114+E142</f>
        <v>0</v>
      </c>
      <c r="F106" s="471">
        <f t="shared" si="26"/>
        <v>33511598</v>
      </c>
      <c r="G106" s="471">
        <f t="shared" si="26"/>
        <v>-94654672</v>
      </c>
      <c r="H106" s="471">
        <f t="shared" si="26"/>
        <v>0</v>
      </c>
      <c r="I106" s="471">
        <f t="shared" si="26"/>
        <v>-17315852</v>
      </c>
      <c r="J106" s="471">
        <f t="shared" si="26"/>
        <v>0</v>
      </c>
      <c r="K106" s="471">
        <f t="shared" si="26"/>
        <v>0</v>
      </c>
      <c r="L106" s="471">
        <f t="shared" si="26"/>
        <v>0</v>
      </c>
      <c r="M106" s="471">
        <f t="shared" si="26"/>
        <v>0</v>
      </c>
      <c r="N106" s="471">
        <f t="shared" si="26"/>
        <v>1482360</v>
      </c>
      <c r="O106" s="471">
        <f t="shared" si="26"/>
        <v>33600</v>
      </c>
      <c r="P106" s="471">
        <f t="shared" si="26"/>
        <v>0</v>
      </c>
      <c r="Q106" s="471">
        <f t="shared" si="26"/>
        <v>0</v>
      </c>
      <c r="T106" s="427"/>
    </row>
    <row r="107" spans="1:20" s="426" customFormat="1" ht="17.25" customHeight="1">
      <c r="A107" s="1030"/>
      <c r="B107" s="1050"/>
      <c r="C107" s="470" t="s">
        <v>23</v>
      </c>
      <c r="D107" s="424">
        <f>SUM(E107:P107)</f>
        <v>182419340</v>
      </c>
      <c r="E107" s="424">
        <f t="shared" si="26"/>
        <v>1144791</v>
      </c>
      <c r="F107" s="424">
        <f t="shared" si="26"/>
        <v>33796764</v>
      </c>
      <c r="G107" s="424">
        <f t="shared" si="26"/>
        <v>125493512</v>
      </c>
      <c r="H107" s="424">
        <f t="shared" si="26"/>
        <v>57598</v>
      </c>
      <c r="I107" s="424">
        <f t="shared" si="26"/>
        <v>7456273</v>
      </c>
      <c r="J107" s="424">
        <f t="shared" si="26"/>
        <v>3153057</v>
      </c>
      <c r="K107" s="424">
        <f t="shared" si="26"/>
        <v>480958</v>
      </c>
      <c r="L107" s="424">
        <f t="shared" si="26"/>
        <v>0</v>
      </c>
      <c r="M107" s="424">
        <f t="shared" si="26"/>
        <v>25238</v>
      </c>
      <c r="N107" s="424">
        <f t="shared" si="26"/>
        <v>7488714</v>
      </c>
      <c r="O107" s="424">
        <f t="shared" si="26"/>
        <v>3162221</v>
      </c>
      <c r="P107" s="424">
        <f t="shared" si="26"/>
        <v>160214</v>
      </c>
      <c r="Q107" s="424">
        <f t="shared" si="26"/>
        <v>0</v>
      </c>
      <c r="T107" s="427"/>
    </row>
    <row r="108" spans="1:20" s="434" customFormat="1" ht="5.0999999999999996" customHeight="1">
      <c r="A108" s="408"/>
      <c r="B108" s="428"/>
      <c r="C108" s="428"/>
      <c r="D108" s="429"/>
      <c r="E108" s="430"/>
      <c r="F108" s="431"/>
      <c r="G108" s="431"/>
      <c r="H108" s="432"/>
      <c r="I108" s="431"/>
      <c r="J108" s="431"/>
      <c r="K108" s="433"/>
      <c r="L108" s="431"/>
      <c r="M108" s="431"/>
      <c r="N108" s="431"/>
      <c r="O108" s="431"/>
      <c r="P108" s="431"/>
      <c r="Q108" s="472"/>
      <c r="T108" s="435"/>
    </row>
    <row r="109" spans="1:20" s="426" customFormat="1" ht="20.25" hidden="1" customHeight="1">
      <c r="A109" s="1051" t="s">
        <v>24</v>
      </c>
      <c r="B109" s="1052" t="s">
        <v>573</v>
      </c>
      <c r="C109" s="436" t="s">
        <v>21</v>
      </c>
      <c r="D109" s="437">
        <f t="shared" ref="D109:D159" si="27">SUM(E109:Q109)</f>
        <v>0</v>
      </c>
      <c r="E109" s="438">
        <v>0</v>
      </c>
      <c r="F109" s="438">
        <v>0</v>
      </c>
      <c r="G109" s="438">
        <v>0</v>
      </c>
      <c r="H109" s="438">
        <v>0</v>
      </c>
      <c r="I109" s="438">
        <v>0</v>
      </c>
      <c r="J109" s="438">
        <v>0</v>
      </c>
      <c r="K109" s="438">
        <v>0</v>
      </c>
      <c r="L109" s="438">
        <v>0</v>
      </c>
      <c r="M109" s="451">
        <v>0</v>
      </c>
      <c r="N109" s="438">
        <v>0</v>
      </c>
      <c r="O109" s="438">
        <v>0</v>
      </c>
      <c r="P109" s="439">
        <v>0</v>
      </c>
      <c r="Q109" s="438">
        <v>0</v>
      </c>
      <c r="T109" s="427"/>
    </row>
    <row r="110" spans="1:20" s="426" customFormat="1" ht="20.25" hidden="1" customHeight="1">
      <c r="A110" s="1051"/>
      <c r="B110" s="1052"/>
      <c r="C110" s="436" t="s">
        <v>22</v>
      </c>
      <c r="D110" s="437">
        <f t="shared" si="27"/>
        <v>0</v>
      </c>
      <c r="E110" s="442">
        <v>0</v>
      </c>
      <c r="F110" s="442">
        <v>0</v>
      </c>
      <c r="G110" s="443">
        <v>0</v>
      </c>
      <c r="H110" s="442">
        <v>0</v>
      </c>
      <c r="I110" s="443">
        <v>0</v>
      </c>
      <c r="J110" s="442">
        <v>0</v>
      </c>
      <c r="K110" s="444">
        <v>0</v>
      </c>
      <c r="L110" s="445">
        <v>0</v>
      </c>
      <c r="M110" s="445">
        <v>0</v>
      </c>
      <c r="N110" s="442">
        <v>0</v>
      </c>
      <c r="O110" s="442">
        <v>0</v>
      </c>
      <c r="P110" s="443">
        <v>0</v>
      </c>
      <c r="Q110" s="442">
        <v>0</v>
      </c>
      <c r="T110" s="427"/>
    </row>
    <row r="111" spans="1:20" s="426" customFormat="1" ht="20.25" hidden="1" customHeight="1">
      <c r="A111" s="1051"/>
      <c r="B111" s="1052"/>
      <c r="C111" s="436" t="s">
        <v>23</v>
      </c>
      <c r="D111" s="437">
        <f t="shared" si="27"/>
        <v>0</v>
      </c>
      <c r="E111" s="442">
        <f t="shared" ref="E111:P111" si="28">E109+E110</f>
        <v>0</v>
      </c>
      <c r="F111" s="442">
        <f t="shared" si="28"/>
        <v>0</v>
      </c>
      <c r="G111" s="442">
        <f t="shared" si="28"/>
        <v>0</v>
      </c>
      <c r="H111" s="442">
        <f t="shared" si="28"/>
        <v>0</v>
      </c>
      <c r="I111" s="442">
        <f t="shared" si="28"/>
        <v>0</v>
      </c>
      <c r="J111" s="442">
        <f t="shared" si="28"/>
        <v>0</v>
      </c>
      <c r="K111" s="442">
        <f t="shared" si="28"/>
        <v>0</v>
      </c>
      <c r="L111" s="442">
        <f t="shared" si="28"/>
        <v>0</v>
      </c>
      <c r="M111" s="442">
        <f t="shared" si="28"/>
        <v>0</v>
      </c>
      <c r="N111" s="442">
        <f t="shared" si="28"/>
        <v>0</v>
      </c>
      <c r="O111" s="442">
        <f t="shared" si="28"/>
        <v>0</v>
      </c>
      <c r="P111" s="445">
        <f t="shared" si="28"/>
        <v>0</v>
      </c>
      <c r="Q111" s="442">
        <f>Q109+Q110</f>
        <v>0</v>
      </c>
      <c r="T111" s="427"/>
    </row>
    <row r="112" spans="1:20" s="426" customFormat="1" ht="9" hidden="1" customHeight="1">
      <c r="A112" s="446"/>
      <c r="B112" s="447"/>
      <c r="C112" s="473"/>
      <c r="D112" s="431"/>
      <c r="E112" s="443"/>
      <c r="F112" s="443"/>
      <c r="G112" s="443"/>
      <c r="H112" s="443"/>
      <c r="I112" s="443"/>
      <c r="J112" s="443"/>
      <c r="K112" s="443"/>
      <c r="L112" s="443"/>
      <c r="M112" s="474"/>
      <c r="N112" s="443"/>
      <c r="O112" s="443"/>
      <c r="P112" s="443"/>
      <c r="Q112" s="442"/>
      <c r="T112" s="427"/>
    </row>
    <row r="113" spans="1:20" s="426" customFormat="1" ht="18" customHeight="1">
      <c r="A113" s="1036" t="s">
        <v>45</v>
      </c>
      <c r="B113" s="1039" t="s">
        <v>46</v>
      </c>
      <c r="C113" s="436" t="s">
        <v>21</v>
      </c>
      <c r="D113" s="437">
        <f>SUM(E113:Q113)</f>
        <v>4717</v>
      </c>
      <c r="E113" s="438">
        <v>0</v>
      </c>
      <c r="F113" s="438">
        <v>4717</v>
      </c>
      <c r="G113" s="440">
        <v>0</v>
      </c>
      <c r="H113" s="438">
        <v>0</v>
      </c>
      <c r="I113" s="440">
        <v>0</v>
      </c>
      <c r="J113" s="438">
        <v>0</v>
      </c>
      <c r="K113" s="441">
        <v>0</v>
      </c>
      <c r="L113" s="439">
        <v>0</v>
      </c>
      <c r="M113" s="438">
        <v>0</v>
      </c>
      <c r="N113" s="438">
        <v>0</v>
      </c>
      <c r="O113" s="438">
        <v>0</v>
      </c>
      <c r="P113" s="440">
        <v>0</v>
      </c>
      <c r="Q113" s="438">
        <v>0</v>
      </c>
      <c r="T113" s="427"/>
    </row>
    <row r="114" spans="1:20" s="426" customFormat="1" ht="18" customHeight="1">
      <c r="A114" s="1037"/>
      <c r="B114" s="1040"/>
      <c r="C114" s="436" t="s">
        <v>22</v>
      </c>
      <c r="D114" s="437">
        <f>SUM(E114:Q114)</f>
        <v>216</v>
      </c>
      <c r="E114" s="442">
        <v>0</v>
      </c>
      <c r="F114" s="442">
        <v>216</v>
      </c>
      <c r="G114" s="443">
        <v>0</v>
      </c>
      <c r="H114" s="442">
        <v>0</v>
      </c>
      <c r="I114" s="443">
        <v>0</v>
      </c>
      <c r="J114" s="442">
        <v>0</v>
      </c>
      <c r="K114" s="444">
        <v>0</v>
      </c>
      <c r="L114" s="445">
        <v>0</v>
      </c>
      <c r="M114" s="442">
        <v>0</v>
      </c>
      <c r="N114" s="442">
        <v>0</v>
      </c>
      <c r="O114" s="442">
        <v>0</v>
      </c>
      <c r="P114" s="443">
        <v>0</v>
      </c>
      <c r="Q114" s="442">
        <v>0</v>
      </c>
      <c r="T114" s="427"/>
    </row>
    <row r="115" spans="1:20" s="426" customFormat="1" ht="18" customHeight="1">
      <c r="A115" s="1038"/>
      <c r="B115" s="1041"/>
      <c r="C115" s="436" t="s">
        <v>23</v>
      </c>
      <c r="D115" s="437">
        <f>SUM(E115:Q115)</f>
        <v>4933</v>
      </c>
      <c r="E115" s="442">
        <f t="shared" ref="E115:L115" si="29">E113+E114</f>
        <v>0</v>
      </c>
      <c r="F115" s="442">
        <f t="shared" si="29"/>
        <v>4933</v>
      </c>
      <c r="G115" s="442">
        <f t="shared" si="29"/>
        <v>0</v>
      </c>
      <c r="H115" s="442">
        <f t="shared" si="29"/>
        <v>0</v>
      </c>
      <c r="I115" s="442">
        <f t="shared" si="29"/>
        <v>0</v>
      </c>
      <c r="J115" s="442">
        <f t="shared" si="29"/>
        <v>0</v>
      </c>
      <c r="K115" s="442">
        <f t="shared" si="29"/>
        <v>0</v>
      </c>
      <c r="L115" s="442">
        <f t="shared" si="29"/>
        <v>0</v>
      </c>
      <c r="M115" s="442">
        <f>M113+M114</f>
        <v>0</v>
      </c>
      <c r="N115" s="442">
        <f>N113+N114</f>
        <v>0</v>
      </c>
      <c r="O115" s="442">
        <f>O113+O114</f>
        <v>0</v>
      </c>
      <c r="P115" s="445">
        <f>P113+P114</f>
        <v>0</v>
      </c>
      <c r="Q115" s="442">
        <f>Q113+Q114</f>
        <v>0</v>
      </c>
      <c r="T115" s="427"/>
    </row>
    <row r="116" spans="1:20" s="426" customFormat="1" ht="5.0999999999999996" customHeight="1">
      <c r="A116" s="446"/>
      <c r="B116" s="447"/>
      <c r="C116" s="447"/>
      <c r="D116" s="429"/>
      <c r="E116" s="440"/>
      <c r="F116" s="440"/>
      <c r="G116" s="440"/>
      <c r="H116" s="440"/>
      <c r="I116" s="440"/>
      <c r="J116" s="440"/>
      <c r="K116" s="440"/>
      <c r="L116" s="440"/>
      <c r="M116" s="431"/>
      <c r="N116" s="440"/>
      <c r="O116" s="440"/>
      <c r="P116" s="440"/>
      <c r="Q116" s="438"/>
      <c r="T116" s="427"/>
    </row>
    <row r="117" spans="1:20" s="454" customFormat="1" ht="17.25" customHeight="1">
      <c r="A117" s="1042" t="s">
        <v>56</v>
      </c>
      <c r="B117" s="1045" t="s">
        <v>57</v>
      </c>
      <c r="C117" s="436" t="s">
        <v>21</v>
      </c>
      <c r="D117" s="437">
        <f t="shared" si="27"/>
        <v>5953901</v>
      </c>
      <c r="E117" s="451">
        <v>0</v>
      </c>
      <c r="F117" s="451">
        <v>60000</v>
      </c>
      <c r="G117" s="467">
        <v>0</v>
      </c>
      <c r="H117" s="451">
        <v>0</v>
      </c>
      <c r="I117" s="452">
        <v>0</v>
      </c>
      <c r="J117" s="451">
        <v>2798066</v>
      </c>
      <c r="K117" s="452">
        <v>0</v>
      </c>
      <c r="L117" s="467">
        <v>0</v>
      </c>
      <c r="M117" s="451">
        <v>0</v>
      </c>
      <c r="N117" s="451">
        <v>0</v>
      </c>
      <c r="O117" s="451">
        <v>2953621</v>
      </c>
      <c r="P117" s="452">
        <v>142214</v>
      </c>
      <c r="Q117" s="451">
        <v>0</v>
      </c>
      <c r="T117" s="455"/>
    </row>
    <row r="118" spans="1:20" s="454" customFormat="1" ht="17.25" customHeight="1">
      <c r="A118" s="1043"/>
      <c r="B118" s="1046"/>
      <c r="C118" s="436" t="s">
        <v>22</v>
      </c>
      <c r="D118" s="437">
        <f t="shared" si="27"/>
        <v>33600</v>
      </c>
      <c r="E118" s="442">
        <v>0</v>
      </c>
      <c r="F118" s="442">
        <v>0</v>
      </c>
      <c r="G118" s="443">
        <v>0</v>
      </c>
      <c r="H118" s="442">
        <v>0</v>
      </c>
      <c r="I118" s="443">
        <v>0</v>
      </c>
      <c r="J118" s="442">
        <v>0</v>
      </c>
      <c r="K118" s="444">
        <v>0</v>
      </c>
      <c r="L118" s="445">
        <v>0</v>
      </c>
      <c r="M118" s="445">
        <v>0</v>
      </c>
      <c r="N118" s="442">
        <v>0</v>
      </c>
      <c r="O118" s="442">
        <v>33600</v>
      </c>
      <c r="P118" s="443">
        <v>0</v>
      </c>
      <c r="Q118" s="442">
        <v>0</v>
      </c>
      <c r="T118" s="455"/>
    </row>
    <row r="119" spans="1:20" s="454" customFormat="1" ht="17.25" customHeight="1">
      <c r="A119" s="1044"/>
      <c r="B119" s="1047"/>
      <c r="C119" s="436" t="s">
        <v>23</v>
      </c>
      <c r="D119" s="437">
        <f t="shared" si="27"/>
        <v>5987501</v>
      </c>
      <c r="E119" s="442">
        <f t="shared" ref="E119:P119" si="30">E117+E118</f>
        <v>0</v>
      </c>
      <c r="F119" s="442">
        <f t="shared" si="30"/>
        <v>60000</v>
      </c>
      <c r="G119" s="442">
        <f t="shared" si="30"/>
        <v>0</v>
      </c>
      <c r="H119" s="442">
        <f t="shared" si="30"/>
        <v>0</v>
      </c>
      <c r="I119" s="442">
        <f t="shared" si="30"/>
        <v>0</v>
      </c>
      <c r="J119" s="442">
        <f t="shared" si="30"/>
        <v>2798066</v>
      </c>
      <c r="K119" s="442">
        <f t="shared" si="30"/>
        <v>0</v>
      </c>
      <c r="L119" s="442">
        <f t="shared" si="30"/>
        <v>0</v>
      </c>
      <c r="M119" s="442">
        <f t="shared" si="30"/>
        <v>0</v>
      </c>
      <c r="N119" s="442">
        <f t="shared" si="30"/>
        <v>0</v>
      </c>
      <c r="O119" s="442">
        <f t="shared" si="30"/>
        <v>2987221</v>
      </c>
      <c r="P119" s="445">
        <f t="shared" si="30"/>
        <v>142214</v>
      </c>
      <c r="Q119" s="442">
        <f>Q117+Q118</f>
        <v>0</v>
      </c>
      <c r="T119" s="455"/>
    </row>
    <row r="120" spans="1:20" s="454" customFormat="1" ht="5.0999999999999996" customHeight="1">
      <c r="A120" s="456"/>
      <c r="B120" s="457"/>
      <c r="C120" s="447"/>
      <c r="D120" s="475"/>
      <c r="E120" s="452"/>
      <c r="F120" s="452"/>
      <c r="G120" s="452"/>
      <c r="H120" s="452"/>
      <c r="I120" s="452"/>
      <c r="J120" s="452"/>
      <c r="K120" s="452"/>
      <c r="L120" s="452"/>
      <c r="M120" s="476"/>
      <c r="N120" s="452"/>
      <c r="O120" s="452"/>
      <c r="P120" s="452"/>
      <c r="Q120" s="453"/>
      <c r="T120" s="455"/>
    </row>
    <row r="121" spans="1:20" s="399" customFormat="1" ht="20.25" hidden="1" customHeight="1">
      <c r="A121" s="1042" t="s">
        <v>78</v>
      </c>
      <c r="B121" s="1036" t="s">
        <v>79</v>
      </c>
      <c r="C121" s="436" t="s">
        <v>21</v>
      </c>
      <c r="D121" s="437">
        <f t="shared" si="27"/>
        <v>215000</v>
      </c>
      <c r="E121" s="451">
        <v>0</v>
      </c>
      <c r="F121" s="451">
        <v>215000</v>
      </c>
      <c r="G121" s="467">
        <v>0</v>
      </c>
      <c r="H121" s="451">
        <v>0</v>
      </c>
      <c r="I121" s="453">
        <v>0</v>
      </c>
      <c r="J121" s="451">
        <v>0</v>
      </c>
      <c r="K121" s="453">
        <v>0</v>
      </c>
      <c r="L121" s="451">
        <v>0</v>
      </c>
      <c r="M121" s="451">
        <v>0</v>
      </c>
      <c r="N121" s="451">
        <v>0</v>
      </c>
      <c r="O121" s="451">
        <v>0</v>
      </c>
      <c r="P121" s="452">
        <v>0</v>
      </c>
      <c r="Q121" s="451">
        <v>0</v>
      </c>
      <c r="T121" s="461"/>
    </row>
    <row r="122" spans="1:20" s="399" customFormat="1" ht="20.25" hidden="1" customHeight="1">
      <c r="A122" s="1043"/>
      <c r="B122" s="1037"/>
      <c r="C122" s="436" t="s">
        <v>22</v>
      </c>
      <c r="D122" s="437">
        <f t="shared" si="27"/>
        <v>0</v>
      </c>
      <c r="E122" s="442">
        <v>0</v>
      </c>
      <c r="F122" s="442">
        <v>0</v>
      </c>
      <c r="G122" s="443">
        <v>0</v>
      </c>
      <c r="H122" s="442">
        <v>0</v>
      </c>
      <c r="I122" s="443">
        <v>0</v>
      </c>
      <c r="J122" s="442">
        <v>0</v>
      </c>
      <c r="K122" s="444">
        <v>0</v>
      </c>
      <c r="L122" s="445">
        <v>0</v>
      </c>
      <c r="M122" s="445">
        <v>0</v>
      </c>
      <c r="N122" s="442">
        <v>0</v>
      </c>
      <c r="O122" s="442">
        <v>0</v>
      </c>
      <c r="P122" s="443">
        <v>0</v>
      </c>
      <c r="Q122" s="442">
        <v>0</v>
      </c>
      <c r="T122" s="461"/>
    </row>
    <row r="123" spans="1:20" s="399" customFormat="1" ht="20.25" hidden="1" customHeight="1">
      <c r="A123" s="1044"/>
      <c r="B123" s="1038"/>
      <c r="C123" s="436" t="s">
        <v>23</v>
      </c>
      <c r="D123" s="437">
        <f t="shared" si="27"/>
        <v>215000</v>
      </c>
      <c r="E123" s="442">
        <f t="shared" ref="E123:P123" si="31">E121+E122</f>
        <v>0</v>
      </c>
      <c r="F123" s="442">
        <f t="shared" si="31"/>
        <v>215000</v>
      </c>
      <c r="G123" s="442">
        <f t="shared" si="31"/>
        <v>0</v>
      </c>
      <c r="H123" s="442">
        <f t="shared" si="31"/>
        <v>0</v>
      </c>
      <c r="I123" s="442">
        <f t="shared" si="31"/>
        <v>0</v>
      </c>
      <c r="J123" s="442">
        <f t="shared" si="31"/>
        <v>0</v>
      </c>
      <c r="K123" s="442">
        <f t="shared" si="31"/>
        <v>0</v>
      </c>
      <c r="L123" s="442">
        <f t="shared" si="31"/>
        <v>0</v>
      </c>
      <c r="M123" s="442">
        <f t="shared" si="31"/>
        <v>0</v>
      </c>
      <c r="N123" s="442">
        <f t="shared" si="31"/>
        <v>0</v>
      </c>
      <c r="O123" s="442">
        <f t="shared" si="31"/>
        <v>0</v>
      </c>
      <c r="P123" s="445">
        <f t="shared" si="31"/>
        <v>0</v>
      </c>
      <c r="Q123" s="442">
        <f>Q121+Q122</f>
        <v>0</v>
      </c>
      <c r="T123" s="461"/>
    </row>
    <row r="124" spans="1:20" s="399" customFormat="1" ht="9" hidden="1" customHeight="1">
      <c r="A124" s="456"/>
      <c r="B124" s="457"/>
      <c r="C124" s="447"/>
      <c r="D124" s="429"/>
      <c r="E124" s="452"/>
      <c r="F124" s="452"/>
      <c r="G124" s="452"/>
      <c r="H124" s="452"/>
      <c r="I124" s="452"/>
      <c r="J124" s="452"/>
      <c r="K124" s="452"/>
      <c r="L124" s="452"/>
      <c r="M124" s="431"/>
      <c r="N124" s="452"/>
      <c r="O124" s="452"/>
      <c r="P124" s="452"/>
      <c r="Q124" s="451"/>
      <c r="T124" s="461"/>
    </row>
    <row r="125" spans="1:20" s="399" customFormat="1" ht="18.75" hidden="1" customHeight="1">
      <c r="A125" s="1042" t="s">
        <v>93</v>
      </c>
      <c r="B125" s="1045" t="s">
        <v>94</v>
      </c>
      <c r="C125" s="436" t="s">
        <v>21</v>
      </c>
      <c r="D125" s="437">
        <f t="shared" si="27"/>
        <v>25238</v>
      </c>
      <c r="E125" s="451">
        <v>0</v>
      </c>
      <c r="F125" s="451">
        <v>0</v>
      </c>
      <c r="G125" s="467">
        <v>0</v>
      </c>
      <c r="H125" s="451">
        <v>0</v>
      </c>
      <c r="I125" s="452">
        <v>0</v>
      </c>
      <c r="J125" s="451">
        <v>0</v>
      </c>
      <c r="K125" s="453">
        <v>0</v>
      </c>
      <c r="L125" s="467">
        <v>0</v>
      </c>
      <c r="M125" s="451">
        <v>25238</v>
      </c>
      <c r="N125" s="451">
        <v>0</v>
      </c>
      <c r="O125" s="451">
        <v>0</v>
      </c>
      <c r="P125" s="452">
        <v>0</v>
      </c>
      <c r="Q125" s="451">
        <v>0</v>
      </c>
      <c r="T125" s="461"/>
    </row>
    <row r="126" spans="1:20" s="399" customFormat="1" ht="18.75" hidden="1" customHeight="1">
      <c r="A126" s="1043"/>
      <c r="B126" s="1046"/>
      <c r="C126" s="436" t="s">
        <v>22</v>
      </c>
      <c r="D126" s="437">
        <f t="shared" si="27"/>
        <v>0</v>
      </c>
      <c r="E126" s="442">
        <v>0</v>
      </c>
      <c r="F126" s="442">
        <v>0</v>
      </c>
      <c r="G126" s="443">
        <v>0</v>
      </c>
      <c r="H126" s="442">
        <v>0</v>
      </c>
      <c r="I126" s="443">
        <v>0</v>
      </c>
      <c r="J126" s="442">
        <v>0</v>
      </c>
      <c r="K126" s="444">
        <v>0</v>
      </c>
      <c r="L126" s="445">
        <v>0</v>
      </c>
      <c r="M126" s="445">
        <v>0</v>
      </c>
      <c r="N126" s="442">
        <v>0</v>
      </c>
      <c r="O126" s="442">
        <v>0</v>
      </c>
      <c r="P126" s="443">
        <v>0</v>
      </c>
      <c r="Q126" s="442">
        <v>0</v>
      </c>
      <c r="T126" s="461"/>
    </row>
    <row r="127" spans="1:20" s="399" customFormat="1" ht="18.75" hidden="1" customHeight="1">
      <c r="A127" s="1044"/>
      <c r="B127" s="1047"/>
      <c r="C127" s="436" t="s">
        <v>23</v>
      </c>
      <c r="D127" s="437">
        <f t="shared" si="27"/>
        <v>25238</v>
      </c>
      <c r="E127" s="442">
        <f t="shared" ref="E127:P127" si="32">E125+E126</f>
        <v>0</v>
      </c>
      <c r="F127" s="442">
        <f t="shared" si="32"/>
        <v>0</v>
      </c>
      <c r="G127" s="442">
        <f t="shared" si="32"/>
        <v>0</v>
      </c>
      <c r="H127" s="442">
        <f t="shared" si="32"/>
        <v>0</v>
      </c>
      <c r="I127" s="442">
        <f t="shared" si="32"/>
        <v>0</v>
      </c>
      <c r="J127" s="442">
        <f t="shared" si="32"/>
        <v>0</v>
      </c>
      <c r="K127" s="442">
        <f t="shared" si="32"/>
        <v>0</v>
      </c>
      <c r="L127" s="442">
        <f t="shared" si="32"/>
        <v>0</v>
      </c>
      <c r="M127" s="442">
        <f t="shared" si="32"/>
        <v>25238</v>
      </c>
      <c r="N127" s="442">
        <f t="shared" si="32"/>
        <v>0</v>
      </c>
      <c r="O127" s="442">
        <f t="shared" si="32"/>
        <v>0</v>
      </c>
      <c r="P127" s="445">
        <f t="shared" si="32"/>
        <v>0</v>
      </c>
      <c r="Q127" s="442">
        <f>Q125+Q126</f>
        <v>0</v>
      </c>
      <c r="T127" s="461"/>
    </row>
    <row r="128" spans="1:20" s="399" customFormat="1" ht="3.75" hidden="1" customHeight="1">
      <c r="A128" s="456"/>
      <c r="B128" s="457"/>
      <c r="C128" s="447"/>
      <c r="D128" s="429"/>
      <c r="E128" s="452"/>
      <c r="F128" s="452"/>
      <c r="G128" s="452"/>
      <c r="H128" s="452"/>
      <c r="I128" s="452"/>
      <c r="J128" s="452"/>
      <c r="K128" s="452"/>
      <c r="L128" s="452"/>
      <c r="M128" s="431"/>
      <c r="N128" s="452"/>
      <c r="O128" s="452"/>
      <c r="P128" s="452"/>
      <c r="Q128" s="451"/>
      <c r="T128" s="461"/>
    </row>
    <row r="129" spans="1:20" s="454" customFormat="1" ht="20.25" hidden="1" customHeight="1">
      <c r="A129" s="1042" t="s">
        <v>101</v>
      </c>
      <c r="B129" s="1045" t="s">
        <v>102</v>
      </c>
      <c r="C129" s="436" t="s">
        <v>21</v>
      </c>
      <c r="D129" s="437">
        <f t="shared" si="27"/>
        <v>0</v>
      </c>
      <c r="E129" s="451">
        <v>0</v>
      </c>
      <c r="F129" s="451">
        <v>0</v>
      </c>
      <c r="G129" s="467">
        <v>0</v>
      </c>
      <c r="H129" s="451">
        <v>0</v>
      </c>
      <c r="I129" s="453">
        <v>0</v>
      </c>
      <c r="J129" s="451">
        <v>0</v>
      </c>
      <c r="K129" s="453">
        <v>0</v>
      </c>
      <c r="L129" s="451">
        <v>0</v>
      </c>
      <c r="M129" s="451">
        <v>0</v>
      </c>
      <c r="N129" s="451">
        <v>0</v>
      </c>
      <c r="O129" s="451">
        <v>0</v>
      </c>
      <c r="P129" s="452">
        <v>0</v>
      </c>
      <c r="Q129" s="451">
        <v>0</v>
      </c>
      <c r="T129" s="455"/>
    </row>
    <row r="130" spans="1:20" s="454" customFormat="1" ht="20.25" hidden="1" customHeight="1">
      <c r="A130" s="1043"/>
      <c r="B130" s="1046"/>
      <c r="C130" s="436" t="s">
        <v>22</v>
      </c>
      <c r="D130" s="437">
        <f t="shared" si="27"/>
        <v>0</v>
      </c>
      <c r="E130" s="442">
        <v>0</v>
      </c>
      <c r="F130" s="442">
        <v>0</v>
      </c>
      <c r="G130" s="443">
        <v>0</v>
      </c>
      <c r="H130" s="442">
        <v>0</v>
      </c>
      <c r="I130" s="443">
        <v>0</v>
      </c>
      <c r="J130" s="442">
        <v>0</v>
      </c>
      <c r="K130" s="444">
        <v>0</v>
      </c>
      <c r="L130" s="445">
        <v>0</v>
      </c>
      <c r="M130" s="445">
        <v>0</v>
      </c>
      <c r="N130" s="442">
        <v>0</v>
      </c>
      <c r="O130" s="442">
        <v>0</v>
      </c>
      <c r="P130" s="443">
        <v>0</v>
      </c>
      <c r="Q130" s="442">
        <v>0</v>
      </c>
      <c r="T130" s="455"/>
    </row>
    <row r="131" spans="1:20" s="454" customFormat="1" ht="20.25" hidden="1" customHeight="1">
      <c r="A131" s="1044"/>
      <c r="B131" s="1047"/>
      <c r="C131" s="436" t="s">
        <v>23</v>
      </c>
      <c r="D131" s="437">
        <f t="shared" si="27"/>
        <v>0</v>
      </c>
      <c r="E131" s="442">
        <f t="shared" ref="E131:P131" si="33">E129+E130</f>
        <v>0</v>
      </c>
      <c r="F131" s="442">
        <f t="shared" si="33"/>
        <v>0</v>
      </c>
      <c r="G131" s="442">
        <f t="shared" si="33"/>
        <v>0</v>
      </c>
      <c r="H131" s="442">
        <f t="shared" si="33"/>
        <v>0</v>
      </c>
      <c r="I131" s="442">
        <f t="shared" si="33"/>
        <v>0</v>
      </c>
      <c r="J131" s="442">
        <f t="shared" si="33"/>
        <v>0</v>
      </c>
      <c r="K131" s="442">
        <f t="shared" si="33"/>
        <v>0</v>
      </c>
      <c r="L131" s="442">
        <f t="shared" si="33"/>
        <v>0</v>
      </c>
      <c r="M131" s="442">
        <f t="shared" si="33"/>
        <v>0</v>
      </c>
      <c r="N131" s="442">
        <f t="shared" si="33"/>
        <v>0</v>
      </c>
      <c r="O131" s="442">
        <f t="shared" si="33"/>
        <v>0</v>
      </c>
      <c r="P131" s="445">
        <f t="shared" si="33"/>
        <v>0</v>
      </c>
      <c r="Q131" s="442">
        <f>Q129+Q130</f>
        <v>0</v>
      </c>
      <c r="T131" s="455"/>
    </row>
    <row r="132" spans="1:20" s="454" customFormat="1" ht="5.25" hidden="1" customHeight="1">
      <c r="A132" s="456"/>
      <c r="B132" s="457"/>
      <c r="C132" s="447"/>
      <c r="D132" s="429"/>
      <c r="E132" s="452"/>
      <c r="F132" s="452"/>
      <c r="G132" s="452"/>
      <c r="H132" s="452"/>
      <c r="I132" s="452"/>
      <c r="J132" s="452"/>
      <c r="K132" s="452"/>
      <c r="L132" s="452"/>
      <c r="M132" s="431"/>
      <c r="N132" s="452"/>
      <c r="O132" s="452"/>
      <c r="P132" s="452"/>
      <c r="Q132" s="451"/>
      <c r="T132" s="455"/>
    </row>
    <row r="133" spans="1:20" s="454" customFormat="1" ht="18.75" customHeight="1">
      <c r="A133" s="1042" t="s">
        <v>127</v>
      </c>
      <c r="B133" s="1045" t="s">
        <v>128</v>
      </c>
      <c r="C133" s="436" t="s">
        <v>21</v>
      </c>
      <c r="D133" s="437">
        <f t="shared" si="27"/>
        <v>231893799</v>
      </c>
      <c r="E133" s="451">
        <v>1144791</v>
      </c>
      <c r="F133" s="451">
        <v>0</v>
      </c>
      <c r="G133" s="451">
        <v>205942883</v>
      </c>
      <c r="H133" s="467">
        <v>34000</v>
      </c>
      <c r="I133" s="451">
        <v>24772125</v>
      </c>
      <c r="J133" s="451">
        <v>0</v>
      </c>
      <c r="K133" s="453">
        <v>0</v>
      </c>
      <c r="L133" s="467">
        <v>0</v>
      </c>
      <c r="M133" s="451">
        <v>0</v>
      </c>
      <c r="N133" s="451">
        <v>0</v>
      </c>
      <c r="O133" s="451">
        <v>0</v>
      </c>
      <c r="P133" s="467">
        <v>0</v>
      </c>
      <c r="Q133" s="451">
        <v>0</v>
      </c>
      <c r="T133" s="455"/>
    </row>
    <row r="134" spans="1:20" s="454" customFormat="1" ht="18.75" customHeight="1">
      <c r="A134" s="1043"/>
      <c r="B134" s="1046"/>
      <c r="C134" s="436" t="s">
        <v>22</v>
      </c>
      <c r="D134" s="437">
        <f t="shared" si="27"/>
        <v>-69500137</v>
      </c>
      <c r="E134" s="442">
        <v>0</v>
      </c>
      <c r="F134" s="442">
        <v>33510208</v>
      </c>
      <c r="G134" s="443">
        <f>-48596068-36606320-492105</f>
        <v>-85694493</v>
      </c>
      <c r="H134" s="442">
        <v>0</v>
      </c>
      <c r="I134" s="443">
        <f>-17253971-140300+136314-57895</f>
        <v>-17315852</v>
      </c>
      <c r="J134" s="442">
        <v>0</v>
      </c>
      <c r="K134" s="444">
        <v>0</v>
      </c>
      <c r="L134" s="445">
        <v>0</v>
      </c>
      <c r="M134" s="445">
        <v>0</v>
      </c>
      <c r="N134" s="442">
        <v>0</v>
      </c>
      <c r="O134" s="442">
        <v>0</v>
      </c>
      <c r="P134" s="443">
        <v>0</v>
      </c>
      <c r="Q134" s="442">
        <v>0</v>
      </c>
      <c r="T134" s="455"/>
    </row>
    <row r="135" spans="1:20" s="454" customFormat="1" ht="18.75" customHeight="1">
      <c r="A135" s="1044"/>
      <c r="B135" s="1047"/>
      <c r="C135" s="436" t="s">
        <v>23</v>
      </c>
      <c r="D135" s="437">
        <f t="shared" si="27"/>
        <v>162393662</v>
      </c>
      <c r="E135" s="442">
        <f t="shared" ref="E135:P135" si="34">E133+E134</f>
        <v>1144791</v>
      </c>
      <c r="F135" s="442">
        <f t="shared" si="34"/>
        <v>33510208</v>
      </c>
      <c r="G135" s="442">
        <f t="shared" si="34"/>
        <v>120248390</v>
      </c>
      <c r="H135" s="442">
        <f t="shared" si="34"/>
        <v>34000</v>
      </c>
      <c r="I135" s="442">
        <f t="shared" si="34"/>
        <v>7456273</v>
      </c>
      <c r="J135" s="442">
        <f t="shared" si="34"/>
        <v>0</v>
      </c>
      <c r="K135" s="442">
        <f t="shared" si="34"/>
        <v>0</v>
      </c>
      <c r="L135" s="442">
        <f t="shared" si="34"/>
        <v>0</v>
      </c>
      <c r="M135" s="442">
        <f t="shared" si="34"/>
        <v>0</v>
      </c>
      <c r="N135" s="442">
        <f t="shared" si="34"/>
        <v>0</v>
      </c>
      <c r="O135" s="442">
        <f t="shared" si="34"/>
        <v>0</v>
      </c>
      <c r="P135" s="445">
        <f t="shared" si="34"/>
        <v>0</v>
      </c>
      <c r="Q135" s="442">
        <f>Q133+Q134</f>
        <v>0</v>
      </c>
      <c r="T135" s="455"/>
    </row>
    <row r="136" spans="1:20" s="454" customFormat="1" ht="5.0999999999999996" customHeight="1">
      <c r="A136" s="456"/>
      <c r="B136" s="457"/>
      <c r="C136" s="447"/>
      <c r="D136" s="429"/>
      <c r="E136" s="452"/>
      <c r="F136" s="452"/>
      <c r="G136" s="452"/>
      <c r="H136" s="452"/>
      <c r="I136" s="452"/>
      <c r="J136" s="452"/>
      <c r="K136" s="452"/>
      <c r="L136" s="452"/>
      <c r="M136" s="431"/>
      <c r="N136" s="452"/>
      <c r="O136" s="452"/>
      <c r="P136" s="452"/>
      <c r="Q136" s="451"/>
      <c r="T136" s="455"/>
    </row>
    <row r="137" spans="1:20" s="454" customFormat="1" ht="18.75" customHeight="1">
      <c r="A137" s="1042" t="s">
        <v>158</v>
      </c>
      <c r="B137" s="1045" t="s">
        <v>159</v>
      </c>
      <c r="C137" s="436" t="s">
        <v>21</v>
      </c>
      <c r="D137" s="437">
        <f>SUM(E137:Q137)</f>
        <v>6141354</v>
      </c>
      <c r="E137" s="451">
        <v>0</v>
      </c>
      <c r="F137" s="451">
        <v>0</v>
      </c>
      <c r="G137" s="452">
        <v>0</v>
      </c>
      <c r="H137" s="451">
        <v>0</v>
      </c>
      <c r="I137" s="453">
        <v>0</v>
      </c>
      <c r="J137" s="451">
        <v>0</v>
      </c>
      <c r="K137" s="453">
        <v>0</v>
      </c>
      <c r="L137" s="451">
        <v>0</v>
      </c>
      <c r="M137" s="451">
        <v>0</v>
      </c>
      <c r="N137" s="451">
        <v>6006354</v>
      </c>
      <c r="O137" s="451">
        <v>135000</v>
      </c>
      <c r="P137" s="452">
        <v>0</v>
      </c>
      <c r="Q137" s="451">
        <v>0</v>
      </c>
      <c r="T137" s="455"/>
    </row>
    <row r="138" spans="1:20" s="454" customFormat="1" ht="18.75" customHeight="1">
      <c r="A138" s="1043"/>
      <c r="B138" s="1046"/>
      <c r="C138" s="436" t="s">
        <v>22</v>
      </c>
      <c r="D138" s="437">
        <f>SUM(E138:Q138)</f>
        <v>1482360</v>
      </c>
      <c r="E138" s="442">
        <v>0</v>
      </c>
      <c r="F138" s="442">
        <v>0</v>
      </c>
      <c r="G138" s="443">
        <v>0</v>
      </c>
      <c r="H138" s="442">
        <v>0</v>
      </c>
      <c r="I138" s="443">
        <v>0</v>
      </c>
      <c r="J138" s="442">
        <v>0</v>
      </c>
      <c r="K138" s="444">
        <v>0</v>
      </c>
      <c r="L138" s="445">
        <v>0</v>
      </c>
      <c r="M138" s="445">
        <v>0</v>
      </c>
      <c r="N138" s="442">
        <v>1482360</v>
      </c>
      <c r="O138" s="442">
        <v>0</v>
      </c>
      <c r="P138" s="443">
        <v>0</v>
      </c>
      <c r="Q138" s="442">
        <v>0</v>
      </c>
      <c r="T138" s="455"/>
    </row>
    <row r="139" spans="1:20" s="454" customFormat="1" ht="18.75" customHeight="1">
      <c r="A139" s="1044"/>
      <c r="B139" s="1047"/>
      <c r="C139" s="436" t="s">
        <v>23</v>
      </c>
      <c r="D139" s="437">
        <f>SUM(E139:Q139)</f>
        <v>7623714</v>
      </c>
      <c r="E139" s="442">
        <f t="shared" ref="E139:P139" si="35">E137+E138</f>
        <v>0</v>
      </c>
      <c r="F139" s="442">
        <f t="shared" si="35"/>
        <v>0</v>
      </c>
      <c r="G139" s="442">
        <f t="shared" si="35"/>
        <v>0</v>
      </c>
      <c r="H139" s="442">
        <f t="shared" si="35"/>
        <v>0</v>
      </c>
      <c r="I139" s="442">
        <f t="shared" si="35"/>
        <v>0</v>
      </c>
      <c r="J139" s="442">
        <f t="shared" si="35"/>
        <v>0</v>
      </c>
      <c r="K139" s="442">
        <f t="shared" si="35"/>
        <v>0</v>
      </c>
      <c r="L139" s="442">
        <f t="shared" si="35"/>
        <v>0</v>
      </c>
      <c r="M139" s="442">
        <f t="shared" si="35"/>
        <v>0</v>
      </c>
      <c r="N139" s="442">
        <f t="shared" si="35"/>
        <v>7488714</v>
      </c>
      <c r="O139" s="442">
        <f t="shared" si="35"/>
        <v>135000</v>
      </c>
      <c r="P139" s="445">
        <f t="shared" si="35"/>
        <v>0</v>
      </c>
      <c r="Q139" s="442">
        <f>Q137+Q138</f>
        <v>0</v>
      </c>
      <c r="T139" s="455"/>
    </row>
    <row r="140" spans="1:20" s="454" customFormat="1" ht="5.0999999999999996" customHeight="1">
      <c r="A140" s="462"/>
      <c r="B140" s="468"/>
      <c r="C140" s="447"/>
      <c r="D140" s="429"/>
      <c r="E140" s="452"/>
      <c r="F140" s="452"/>
      <c r="G140" s="452"/>
      <c r="H140" s="452"/>
      <c r="I140" s="452"/>
      <c r="J140" s="452"/>
      <c r="K140" s="452"/>
      <c r="L140" s="452"/>
      <c r="M140" s="431"/>
      <c r="N140" s="452"/>
      <c r="O140" s="452"/>
      <c r="P140" s="452"/>
      <c r="Q140" s="451"/>
      <c r="T140" s="455"/>
    </row>
    <row r="141" spans="1:20" s="454" customFormat="1" ht="18" customHeight="1">
      <c r="A141" s="1042" t="s">
        <v>282</v>
      </c>
      <c r="B141" s="1045" t="s">
        <v>169</v>
      </c>
      <c r="C141" s="436" t="s">
        <v>21</v>
      </c>
      <c r="D141" s="437">
        <f>SUM(E141:Q141)</f>
        <v>449</v>
      </c>
      <c r="E141" s="451">
        <v>0</v>
      </c>
      <c r="F141" s="451">
        <v>449</v>
      </c>
      <c r="G141" s="452">
        <v>0</v>
      </c>
      <c r="H141" s="451">
        <v>0</v>
      </c>
      <c r="I141" s="453">
        <v>0</v>
      </c>
      <c r="J141" s="451">
        <v>0</v>
      </c>
      <c r="K141" s="453">
        <v>0</v>
      </c>
      <c r="L141" s="451">
        <v>0</v>
      </c>
      <c r="M141" s="451">
        <v>0</v>
      </c>
      <c r="N141" s="451">
        <v>0</v>
      </c>
      <c r="O141" s="451">
        <v>0</v>
      </c>
      <c r="P141" s="452">
        <v>0</v>
      </c>
      <c r="Q141" s="451">
        <v>0</v>
      </c>
      <c r="T141" s="455"/>
    </row>
    <row r="142" spans="1:20" s="454" customFormat="1" ht="18" customHeight="1">
      <c r="A142" s="1043"/>
      <c r="B142" s="1046"/>
      <c r="C142" s="436" t="s">
        <v>22</v>
      </c>
      <c r="D142" s="437">
        <f>SUM(E142:Q142)</f>
        <v>1174</v>
      </c>
      <c r="E142" s="442">
        <v>0</v>
      </c>
      <c r="F142" s="442">
        <v>1174</v>
      </c>
      <c r="G142" s="443">
        <v>0</v>
      </c>
      <c r="H142" s="442">
        <v>0</v>
      </c>
      <c r="I142" s="443">
        <v>0</v>
      </c>
      <c r="J142" s="442">
        <v>0</v>
      </c>
      <c r="K142" s="444">
        <v>0</v>
      </c>
      <c r="L142" s="445">
        <v>0</v>
      </c>
      <c r="M142" s="445">
        <v>0</v>
      </c>
      <c r="N142" s="442">
        <v>0</v>
      </c>
      <c r="O142" s="442">
        <v>0</v>
      </c>
      <c r="P142" s="443">
        <v>0</v>
      </c>
      <c r="Q142" s="442">
        <v>0</v>
      </c>
      <c r="T142" s="455"/>
    </row>
    <row r="143" spans="1:20" s="454" customFormat="1" ht="18" customHeight="1">
      <c r="A143" s="1044"/>
      <c r="B143" s="1047"/>
      <c r="C143" s="436" t="s">
        <v>23</v>
      </c>
      <c r="D143" s="437">
        <f>SUM(E143:Q143)</f>
        <v>1623</v>
      </c>
      <c r="E143" s="442">
        <f t="shared" ref="E143:P143" si="36">E141+E142</f>
        <v>0</v>
      </c>
      <c r="F143" s="442">
        <f t="shared" si="36"/>
        <v>1623</v>
      </c>
      <c r="G143" s="442">
        <f t="shared" si="36"/>
        <v>0</v>
      </c>
      <c r="H143" s="442">
        <f t="shared" si="36"/>
        <v>0</v>
      </c>
      <c r="I143" s="442">
        <f t="shared" si="36"/>
        <v>0</v>
      </c>
      <c r="J143" s="442">
        <f t="shared" si="36"/>
        <v>0</v>
      </c>
      <c r="K143" s="442">
        <f t="shared" si="36"/>
        <v>0</v>
      </c>
      <c r="L143" s="442">
        <f t="shared" si="36"/>
        <v>0</v>
      </c>
      <c r="M143" s="442">
        <f t="shared" si="36"/>
        <v>0</v>
      </c>
      <c r="N143" s="442">
        <f t="shared" si="36"/>
        <v>0</v>
      </c>
      <c r="O143" s="442">
        <f t="shared" si="36"/>
        <v>0</v>
      </c>
      <c r="P143" s="445">
        <f t="shared" si="36"/>
        <v>0</v>
      </c>
      <c r="Q143" s="442">
        <f>Q141+Q142</f>
        <v>0</v>
      </c>
      <c r="T143" s="455"/>
    </row>
    <row r="144" spans="1:20" s="454" customFormat="1" ht="5.0999999999999996" customHeight="1">
      <c r="A144" s="456"/>
      <c r="B144" s="457"/>
      <c r="C144" s="457"/>
      <c r="D144" s="452"/>
      <c r="E144" s="452"/>
      <c r="F144" s="452"/>
      <c r="G144" s="452"/>
      <c r="H144" s="452"/>
      <c r="I144" s="452"/>
      <c r="J144" s="452"/>
      <c r="K144" s="452"/>
      <c r="L144" s="452"/>
      <c r="M144" s="452"/>
      <c r="N144" s="452"/>
      <c r="O144" s="452"/>
      <c r="P144" s="452"/>
      <c r="Q144" s="453"/>
      <c r="T144" s="455"/>
    </row>
    <row r="145" spans="1:20" s="454" customFormat="1" ht="20.25" hidden="1" customHeight="1">
      <c r="A145" s="1042" t="s">
        <v>286</v>
      </c>
      <c r="B145" s="1045" t="s">
        <v>576</v>
      </c>
      <c r="C145" s="436" t="s">
        <v>21</v>
      </c>
      <c r="D145" s="437">
        <f t="shared" si="27"/>
        <v>28598</v>
      </c>
      <c r="E145" s="451">
        <v>0</v>
      </c>
      <c r="F145" s="451">
        <v>5000</v>
      </c>
      <c r="G145" s="467">
        <v>0</v>
      </c>
      <c r="H145" s="451">
        <v>23598</v>
      </c>
      <c r="I145" s="452">
        <v>0</v>
      </c>
      <c r="J145" s="451">
        <v>0</v>
      </c>
      <c r="K145" s="453">
        <v>0</v>
      </c>
      <c r="L145" s="467">
        <v>0</v>
      </c>
      <c r="M145" s="451">
        <v>0</v>
      </c>
      <c r="N145" s="451">
        <v>0</v>
      </c>
      <c r="O145" s="451">
        <v>0</v>
      </c>
      <c r="P145" s="452">
        <v>0</v>
      </c>
      <c r="Q145" s="451">
        <v>0</v>
      </c>
      <c r="T145" s="455"/>
    </row>
    <row r="146" spans="1:20" s="454" customFormat="1" ht="20.25" hidden="1" customHeight="1">
      <c r="A146" s="1043"/>
      <c r="B146" s="1046"/>
      <c r="C146" s="436" t="s">
        <v>22</v>
      </c>
      <c r="D146" s="437">
        <f t="shared" si="27"/>
        <v>0</v>
      </c>
      <c r="E146" s="442">
        <v>0</v>
      </c>
      <c r="F146" s="442">
        <v>0</v>
      </c>
      <c r="G146" s="443">
        <v>0</v>
      </c>
      <c r="H146" s="442">
        <v>0</v>
      </c>
      <c r="I146" s="443">
        <v>0</v>
      </c>
      <c r="J146" s="438">
        <v>0</v>
      </c>
      <c r="K146" s="444">
        <v>0</v>
      </c>
      <c r="L146" s="445">
        <v>0</v>
      </c>
      <c r="M146" s="445">
        <v>0</v>
      </c>
      <c r="N146" s="442">
        <v>0</v>
      </c>
      <c r="O146" s="442">
        <v>0</v>
      </c>
      <c r="P146" s="443">
        <v>0</v>
      </c>
      <c r="Q146" s="442">
        <v>0</v>
      </c>
      <c r="T146" s="455"/>
    </row>
    <row r="147" spans="1:20" s="454" customFormat="1" ht="20.25" hidden="1" customHeight="1">
      <c r="A147" s="1044"/>
      <c r="B147" s="1047"/>
      <c r="C147" s="436" t="s">
        <v>23</v>
      </c>
      <c r="D147" s="437">
        <f t="shared" si="27"/>
        <v>28598</v>
      </c>
      <c r="E147" s="442">
        <f t="shared" ref="E147:P147" si="37">E145+E146</f>
        <v>0</v>
      </c>
      <c r="F147" s="442">
        <f t="shared" si="37"/>
        <v>5000</v>
      </c>
      <c r="G147" s="442">
        <f t="shared" si="37"/>
        <v>0</v>
      </c>
      <c r="H147" s="442">
        <f t="shared" si="37"/>
        <v>23598</v>
      </c>
      <c r="I147" s="442">
        <f t="shared" si="37"/>
        <v>0</v>
      </c>
      <c r="J147" s="442">
        <f t="shared" si="37"/>
        <v>0</v>
      </c>
      <c r="K147" s="442">
        <f t="shared" si="37"/>
        <v>0</v>
      </c>
      <c r="L147" s="442">
        <f t="shared" si="37"/>
        <v>0</v>
      </c>
      <c r="M147" s="442">
        <f t="shared" si="37"/>
        <v>0</v>
      </c>
      <c r="N147" s="442">
        <f t="shared" si="37"/>
        <v>0</v>
      </c>
      <c r="O147" s="442">
        <f t="shared" si="37"/>
        <v>0</v>
      </c>
      <c r="P147" s="445">
        <f t="shared" si="37"/>
        <v>0</v>
      </c>
      <c r="Q147" s="442">
        <f>Q145+Q146</f>
        <v>0</v>
      </c>
      <c r="T147" s="455"/>
    </row>
    <row r="148" spans="1:20" s="454" customFormat="1" ht="20.25" hidden="1" customHeight="1">
      <c r="A148" s="456"/>
      <c r="B148" s="457"/>
      <c r="C148" s="447"/>
      <c r="D148" s="429"/>
      <c r="E148" s="452"/>
      <c r="F148" s="452"/>
      <c r="G148" s="452"/>
      <c r="H148" s="452"/>
      <c r="I148" s="452"/>
      <c r="J148" s="452"/>
      <c r="K148" s="452"/>
      <c r="L148" s="452"/>
      <c r="M148" s="431"/>
      <c r="N148" s="452"/>
      <c r="O148" s="452"/>
      <c r="P148" s="452"/>
      <c r="Q148" s="451"/>
      <c r="T148" s="455"/>
    </row>
    <row r="149" spans="1:20" s="454" customFormat="1" ht="20.25" hidden="1" customHeight="1">
      <c r="A149" s="1042" t="s">
        <v>388</v>
      </c>
      <c r="B149" s="1045" t="s">
        <v>188</v>
      </c>
      <c r="C149" s="436" t="s">
        <v>21</v>
      </c>
      <c r="D149" s="437">
        <f t="shared" si="27"/>
        <v>0</v>
      </c>
      <c r="E149" s="451">
        <v>0</v>
      </c>
      <c r="F149" s="451">
        <v>0</v>
      </c>
      <c r="G149" s="467">
        <v>0</v>
      </c>
      <c r="H149" s="451">
        <v>0</v>
      </c>
      <c r="I149" s="452">
        <v>0</v>
      </c>
      <c r="J149" s="451">
        <v>0</v>
      </c>
      <c r="K149" s="453">
        <v>0</v>
      </c>
      <c r="L149" s="467">
        <v>0</v>
      </c>
      <c r="M149" s="451">
        <v>0</v>
      </c>
      <c r="N149" s="451">
        <v>0</v>
      </c>
      <c r="O149" s="451">
        <v>0</v>
      </c>
      <c r="P149" s="452">
        <v>0</v>
      </c>
      <c r="Q149" s="451">
        <v>0</v>
      </c>
      <c r="T149" s="455"/>
    </row>
    <row r="150" spans="1:20" s="454" customFormat="1" ht="20.25" hidden="1" customHeight="1">
      <c r="A150" s="1043"/>
      <c r="B150" s="1046"/>
      <c r="C150" s="436" t="s">
        <v>22</v>
      </c>
      <c r="D150" s="437">
        <f t="shared" si="27"/>
        <v>0</v>
      </c>
      <c r="E150" s="442">
        <v>0</v>
      </c>
      <c r="F150" s="442">
        <v>0</v>
      </c>
      <c r="G150" s="443">
        <v>0</v>
      </c>
      <c r="H150" s="442">
        <v>0</v>
      </c>
      <c r="I150" s="443">
        <v>0</v>
      </c>
      <c r="J150" s="442">
        <v>0</v>
      </c>
      <c r="K150" s="444">
        <v>0</v>
      </c>
      <c r="L150" s="445">
        <v>0</v>
      </c>
      <c r="M150" s="445">
        <v>0</v>
      </c>
      <c r="N150" s="442">
        <v>0</v>
      </c>
      <c r="O150" s="442">
        <v>0</v>
      </c>
      <c r="P150" s="443">
        <v>0</v>
      </c>
      <c r="Q150" s="442">
        <v>0</v>
      </c>
      <c r="T150" s="455"/>
    </row>
    <row r="151" spans="1:20" s="454" customFormat="1" ht="20.25" hidden="1" customHeight="1">
      <c r="A151" s="1043"/>
      <c r="B151" s="1046"/>
      <c r="C151" s="436" t="s">
        <v>23</v>
      </c>
      <c r="D151" s="437">
        <f t="shared" si="27"/>
        <v>0</v>
      </c>
      <c r="E151" s="442">
        <f t="shared" ref="E151:P151" si="38">E149+E150</f>
        <v>0</v>
      </c>
      <c r="F151" s="442">
        <f t="shared" si="38"/>
        <v>0</v>
      </c>
      <c r="G151" s="442">
        <f t="shared" si="38"/>
        <v>0</v>
      </c>
      <c r="H151" s="442">
        <f t="shared" si="38"/>
        <v>0</v>
      </c>
      <c r="I151" s="442">
        <f t="shared" si="38"/>
        <v>0</v>
      </c>
      <c r="J151" s="442">
        <f t="shared" si="38"/>
        <v>0</v>
      </c>
      <c r="K151" s="442">
        <f t="shared" si="38"/>
        <v>0</v>
      </c>
      <c r="L151" s="442">
        <f t="shared" si="38"/>
        <v>0</v>
      </c>
      <c r="M151" s="442">
        <f t="shared" si="38"/>
        <v>0</v>
      </c>
      <c r="N151" s="442">
        <f t="shared" si="38"/>
        <v>0</v>
      </c>
      <c r="O151" s="442">
        <f t="shared" si="38"/>
        <v>0</v>
      </c>
      <c r="P151" s="445">
        <f t="shared" si="38"/>
        <v>0</v>
      </c>
      <c r="Q151" s="442">
        <f>Q149+Q150</f>
        <v>0</v>
      </c>
      <c r="T151" s="455"/>
    </row>
    <row r="152" spans="1:20" s="454" customFormat="1" ht="10.5" hidden="1" customHeight="1">
      <c r="A152" s="456"/>
      <c r="B152" s="457"/>
      <c r="C152" s="447"/>
      <c r="D152" s="429"/>
      <c r="E152" s="452"/>
      <c r="F152" s="452"/>
      <c r="G152" s="452"/>
      <c r="H152" s="452"/>
      <c r="I152" s="452"/>
      <c r="J152" s="452"/>
      <c r="K152" s="452"/>
      <c r="L152" s="452"/>
      <c r="M152" s="431"/>
      <c r="N152" s="452"/>
      <c r="O152" s="452"/>
      <c r="P152" s="452"/>
      <c r="Q152" s="451"/>
      <c r="T152" s="455"/>
    </row>
    <row r="153" spans="1:20" s="454" customFormat="1" ht="20.25" customHeight="1">
      <c r="A153" s="1042" t="s">
        <v>300</v>
      </c>
      <c r="B153" s="1045" t="s">
        <v>197</v>
      </c>
      <c r="C153" s="436" t="s">
        <v>21</v>
      </c>
      <c r="D153" s="437">
        <f t="shared" si="27"/>
        <v>14296932</v>
      </c>
      <c r="E153" s="451">
        <v>0</v>
      </c>
      <c r="F153" s="451">
        <v>0</v>
      </c>
      <c r="G153" s="467">
        <v>14205301</v>
      </c>
      <c r="H153" s="451">
        <v>0</v>
      </c>
      <c r="I153" s="452">
        <v>0</v>
      </c>
      <c r="J153" s="451">
        <v>51631</v>
      </c>
      <c r="K153" s="453">
        <v>0</v>
      </c>
      <c r="L153" s="467">
        <v>0</v>
      </c>
      <c r="M153" s="451">
        <v>0</v>
      </c>
      <c r="N153" s="451">
        <v>0</v>
      </c>
      <c r="O153" s="451">
        <v>40000</v>
      </c>
      <c r="P153" s="452">
        <v>0</v>
      </c>
      <c r="Q153" s="451">
        <v>0</v>
      </c>
      <c r="T153" s="455"/>
    </row>
    <row r="154" spans="1:20" s="454" customFormat="1" ht="20.25" customHeight="1">
      <c r="A154" s="1043"/>
      <c r="B154" s="1046"/>
      <c r="C154" s="436" t="s">
        <v>22</v>
      </c>
      <c r="D154" s="437">
        <f t="shared" si="27"/>
        <v>-8960179</v>
      </c>
      <c r="E154" s="442">
        <v>0</v>
      </c>
      <c r="F154" s="442">
        <v>0</v>
      </c>
      <c r="G154" s="443">
        <v>-8960179</v>
      </c>
      <c r="H154" s="442">
        <v>0</v>
      </c>
      <c r="I154" s="443">
        <v>0</v>
      </c>
      <c r="J154" s="442">
        <v>0</v>
      </c>
      <c r="K154" s="444">
        <v>0</v>
      </c>
      <c r="L154" s="445">
        <v>0</v>
      </c>
      <c r="M154" s="445">
        <v>0</v>
      </c>
      <c r="N154" s="442">
        <v>0</v>
      </c>
      <c r="O154" s="442">
        <v>0</v>
      </c>
      <c r="P154" s="443">
        <v>0</v>
      </c>
      <c r="Q154" s="442">
        <v>0</v>
      </c>
      <c r="T154" s="455"/>
    </row>
    <row r="155" spans="1:20" s="454" customFormat="1" ht="20.25" customHeight="1">
      <c r="A155" s="1044"/>
      <c r="B155" s="1047"/>
      <c r="C155" s="436" t="s">
        <v>23</v>
      </c>
      <c r="D155" s="437">
        <f t="shared" si="27"/>
        <v>5336753</v>
      </c>
      <c r="E155" s="442">
        <f t="shared" ref="E155:P155" si="39">E153+E154</f>
        <v>0</v>
      </c>
      <c r="F155" s="442">
        <f t="shared" si="39"/>
        <v>0</v>
      </c>
      <c r="G155" s="442">
        <f t="shared" si="39"/>
        <v>5245122</v>
      </c>
      <c r="H155" s="442">
        <f t="shared" si="39"/>
        <v>0</v>
      </c>
      <c r="I155" s="442">
        <f t="shared" si="39"/>
        <v>0</v>
      </c>
      <c r="J155" s="442">
        <f t="shared" si="39"/>
        <v>51631</v>
      </c>
      <c r="K155" s="442">
        <f t="shared" si="39"/>
        <v>0</v>
      </c>
      <c r="L155" s="442">
        <f t="shared" si="39"/>
        <v>0</v>
      </c>
      <c r="M155" s="442">
        <f t="shared" si="39"/>
        <v>0</v>
      </c>
      <c r="N155" s="442">
        <f t="shared" si="39"/>
        <v>0</v>
      </c>
      <c r="O155" s="442">
        <f t="shared" si="39"/>
        <v>40000</v>
      </c>
      <c r="P155" s="445">
        <f t="shared" si="39"/>
        <v>0</v>
      </c>
      <c r="Q155" s="442">
        <f>Q153+Q154</f>
        <v>0</v>
      </c>
      <c r="T155" s="455"/>
    </row>
    <row r="156" spans="1:20" s="454" customFormat="1" ht="4.5" hidden="1" customHeight="1">
      <c r="A156" s="462"/>
      <c r="B156" s="468"/>
      <c r="C156" s="448"/>
      <c r="D156" s="429"/>
      <c r="E156" s="477"/>
      <c r="F156" s="477"/>
      <c r="G156" s="477"/>
      <c r="H156" s="477"/>
      <c r="I156" s="477"/>
      <c r="J156" s="477"/>
      <c r="K156" s="477"/>
      <c r="L156" s="477"/>
      <c r="M156" s="431"/>
      <c r="N156" s="477"/>
      <c r="O156" s="477"/>
      <c r="P156" s="477"/>
      <c r="Q156" s="478"/>
      <c r="T156" s="455"/>
    </row>
    <row r="157" spans="1:20" s="454" customFormat="1" ht="18" hidden="1" customHeight="1">
      <c r="A157" s="1042" t="s">
        <v>335</v>
      </c>
      <c r="B157" s="1045" t="s">
        <v>207</v>
      </c>
      <c r="C157" s="436" t="s">
        <v>21</v>
      </c>
      <c r="D157" s="437">
        <f t="shared" si="27"/>
        <v>802318</v>
      </c>
      <c r="E157" s="479">
        <v>0</v>
      </c>
      <c r="F157" s="479">
        <v>0</v>
      </c>
      <c r="G157" s="480">
        <v>0</v>
      </c>
      <c r="H157" s="479">
        <v>0</v>
      </c>
      <c r="I157" s="481">
        <v>0</v>
      </c>
      <c r="J157" s="479">
        <v>303360</v>
      </c>
      <c r="K157" s="482">
        <v>480958</v>
      </c>
      <c r="L157" s="480">
        <v>0</v>
      </c>
      <c r="M157" s="451">
        <v>0</v>
      </c>
      <c r="N157" s="479">
        <v>0</v>
      </c>
      <c r="O157" s="479">
        <v>0</v>
      </c>
      <c r="P157" s="481">
        <v>18000</v>
      </c>
      <c r="Q157" s="479">
        <v>0</v>
      </c>
      <c r="T157" s="455"/>
    </row>
    <row r="158" spans="1:20" s="454" customFormat="1" ht="18" hidden="1" customHeight="1">
      <c r="A158" s="1043"/>
      <c r="B158" s="1046"/>
      <c r="C158" s="436" t="s">
        <v>22</v>
      </c>
      <c r="D158" s="437">
        <f t="shared" si="27"/>
        <v>0</v>
      </c>
      <c r="E158" s="438">
        <v>0</v>
      </c>
      <c r="F158" s="438">
        <v>0</v>
      </c>
      <c r="G158" s="438">
        <v>0</v>
      </c>
      <c r="H158" s="438">
        <v>0</v>
      </c>
      <c r="I158" s="438">
        <v>0</v>
      </c>
      <c r="J158" s="438">
        <v>0</v>
      </c>
      <c r="K158" s="438">
        <v>0</v>
      </c>
      <c r="L158" s="438">
        <v>0</v>
      </c>
      <c r="M158" s="445">
        <v>0</v>
      </c>
      <c r="N158" s="438">
        <v>0</v>
      </c>
      <c r="O158" s="438">
        <v>0</v>
      </c>
      <c r="P158" s="439">
        <v>0</v>
      </c>
      <c r="Q158" s="438">
        <v>0</v>
      </c>
      <c r="T158" s="455"/>
    </row>
    <row r="159" spans="1:20" s="454" customFormat="1" ht="18" hidden="1" customHeight="1">
      <c r="A159" s="1044"/>
      <c r="B159" s="1047"/>
      <c r="C159" s="436" t="s">
        <v>23</v>
      </c>
      <c r="D159" s="437">
        <f t="shared" si="27"/>
        <v>802318</v>
      </c>
      <c r="E159" s="442">
        <f t="shared" ref="E159:P159" si="40">E157+E158</f>
        <v>0</v>
      </c>
      <c r="F159" s="442">
        <f t="shared" si="40"/>
        <v>0</v>
      </c>
      <c r="G159" s="442">
        <f t="shared" si="40"/>
        <v>0</v>
      </c>
      <c r="H159" s="442">
        <f t="shared" si="40"/>
        <v>0</v>
      </c>
      <c r="I159" s="442">
        <f t="shared" si="40"/>
        <v>0</v>
      </c>
      <c r="J159" s="442">
        <f t="shared" si="40"/>
        <v>303360</v>
      </c>
      <c r="K159" s="442">
        <f t="shared" si="40"/>
        <v>480958</v>
      </c>
      <c r="L159" s="442">
        <f t="shared" si="40"/>
        <v>0</v>
      </c>
      <c r="M159" s="442">
        <f t="shared" si="40"/>
        <v>0</v>
      </c>
      <c r="N159" s="442">
        <f t="shared" si="40"/>
        <v>0</v>
      </c>
      <c r="O159" s="442">
        <f t="shared" si="40"/>
        <v>0</v>
      </c>
      <c r="P159" s="445">
        <f t="shared" si="40"/>
        <v>18000</v>
      </c>
      <c r="Q159" s="442">
        <f>Q157+Q158</f>
        <v>0</v>
      </c>
      <c r="T159" s="455"/>
    </row>
    <row r="160" spans="1:20" s="454" customFormat="1" ht="5.0999999999999996" customHeight="1">
      <c r="A160" s="462"/>
      <c r="B160" s="468"/>
      <c r="C160" s="468"/>
      <c r="D160" s="483"/>
      <c r="E160" s="481"/>
      <c r="F160" s="481"/>
      <c r="G160" s="481"/>
      <c r="H160" s="481"/>
      <c r="I160" s="481"/>
      <c r="J160" s="481"/>
      <c r="K160" s="481"/>
      <c r="L160" s="481"/>
      <c r="M160" s="481"/>
      <c r="N160" s="481"/>
      <c r="O160" s="481"/>
      <c r="P160" s="481"/>
      <c r="Q160" s="479"/>
      <c r="T160" s="455"/>
    </row>
    <row r="161" spans="1:20" s="487" customFormat="1" ht="16.5" customHeight="1">
      <c r="A161" s="1053" t="s">
        <v>578</v>
      </c>
      <c r="B161" s="1054"/>
      <c r="C161" s="484" t="s">
        <v>21</v>
      </c>
      <c r="D161" s="485">
        <f t="shared" ref="D161:Q162" si="41">D13+D105</f>
        <v>1231165801.3699999</v>
      </c>
      <c r="E161" s="485">
        <f t="shared" si="41"/>
        <v>586865702</v>
      </c>
      <c r="F161" s="485">
        <f t="shared" si="41"/>
        <v>23283614</v>
      </c>
      <c r="G161" s="485">
        <f t="shared" si="41"/>
        <v>406474255</v>
      </c>
      <c r="H161" s="485">
        <f t="shared" si="41"/>
        <v>44851672</v>
      </c>
      <c r="I161" s="485">
        <f t="shared" si="41"/>
        <v>66726753</v>
      </c>
      <c r="J161" s="485">
        <f t="shared" si="41"/>
        <v>3654963</v>
      </c>
      <c r="K161" s="485">
        <f t="shared" si="41"/>
        <v>1176912</v>
      </c>
      <c r="L161" s="485">
        <f t="shared" si="41"/>
        <v>2589665</v>
      </c>
      <c r="M161" s="485">
        <f t="shared" si="41"/>
        <v>25683</v>
      </c>
      <c r="N161" s="485">
        <f t="shared" si="41"/>
        <v>45482294.370000005</v>
      </c>
      <c r="O161" s="485">
        <f t="shared" si="41"/>
        <v>11356627</v>
      </c>
      <c r="P161" s="486">
        <f t="shared" si="41"/>
        <v>32869180</v>
      </c>
      <c r="Q161" s="485">
        <f t="shared" si="41"/>
        <v>5808481</v>
      </c>
      <c r="T161" s="488"/>
    </row>
    <row r="162" spans="1:20" ht="16.5" customHeight="1">
      <c r="A162" s="1055"/>
      <c r="B162" s="1056"/>
      <c r="C162" s="484" t="s">
        <v>22</v>
      </c>
      <c r="D162" s="485">
        <f>SUM(E162:Q162)</f>
        <v>-104429661.29000001</v>
      </c>
      <c r="E162" s="485">
        <f t="shared" si="41"/>
        <v>1788434</v>
      </c>
      <c r="F162" s="485">
        <f t="shared" si="41"/>
        <v>32065130</v>
      </c>
      <c r="G162" s="485">
        <f t="shared" si="41"/>
        <v>-119363334</v>
      </c>
      <c r="H162" s="485">
        <f t="shared" si="41"/>
        <v>-79154</v>
      </c>
      <c r="I162" s="485">
        <f t="shared" si="41"/>
        <v>-20832895</v>
      </c>
      <c r="J162" s="485">
        <f t="shared" si="41"/>
        <v>0</v>
      </c>
      <c r="K162" s="485">
        <f t="shared" si="41"/>
        <v>0</v>
      </c>
      <c r="L162" s="485">
        <f t="shared" si="41"/>
        <v>0</v>
      </c>
      <c r="M162" s="485">
        <f t="shared" si="41"/>
        <v>0</v>
      </c>
      <c r="N162" s="485">
        <f t="shared" si="41"/>
        <v>1493467.71</v>
      </c>
      <c r="O162" s="485">
        <f t="shared" si="41"/>
        <v>498690</v>
      </c>
      <c r="P162" s="486">
        <f t="shared" si="41"/>
        <v>0</v>
      </c>
      <c r="Q162" s="485">
        <f t="shared" si="41"/>
        <v>0</v>
      </c>
    </row>
    <row r="163" spans="1:20" ht="16.5" customHeight="1">
      <c r="A163" s="1057"/>
      <c r="B163" s="1058"/>
      <c r="C163" s="484" t="s">
        <v>23</v>
      </c>
      <c r="D163" s="485">
        <f>D161+D162</f>
        <v>1126736140.0799999</v>
      </c>
      <c r="E163" s="485">
        <f>E15+E107</f>
        <v>588654136</v>
      </c>
      <c r="F163" s="485">
        <f t="shared" ref="F163:P163" si="42">F161+F162</f>
        <v>55348744</v>
      </c>
      <c r="G163" s="485">
        <f t="shared" si="42"/>
        <v>287110921</v>
      </c>
      <c r="H163" s="485">
        <f t="shared" si="42"/>
        <v>44772518</v>
      </c>
      <c r="I163" s="485">
        <f t="shared" si="42"/>
        <v>45893858</v>
      </c>
      <c r="J163" s="485">
        <f t="shared" si="42"/>
        <v>3654963</v>
      </c>
      <c r="K163" s="485">
        <f t="shared" si="42"/>
        <v>1176912</v>
      </c>
      <c r="L163" s="485">
        <f t="shared" si="42"/>
        <v>2589665</v>
      </c>
      <c r="M163" s="485">
        <f>M161+M162</f>
        <v>25683</v>
      </c>
      <c r="N163" s="485">
        <f t="shared" si="42"/>
        <v>46975762.080000006</v>
      </c>
      <c r="O163" s="485">
        <f t="shared" si="42"/>
        <v>11855317</v>
      </c>
      <c r="P163" s="486">
        <f t="shared" si="42"/>
        <v>32869180</v>
      </c>
      <c r="Q163" s="485">
        <f>Q161+Q162</f>
        <v>5808481</v>
      </c>
    </row>
    <row r="164" spans="1:20" ht="3" customHeight="1">
      <c r="A164" s="489"/>
      <c r="B164" s="489"/>
      <c r="C164" s="489"/>
      <c r="D164" s="490"/>
      <c r="E164" s="490"/>
      <c r="F164" s="490"/>
      <c r="G164" s="490"/>
      <c r="H164" s="490"/>
      <c r="I164" s="490"/>
      <c r="J164" s="490"/>
      <c r="K164" s="490"/>
      <c r="L164" s="490"/>
      <c r="M164" s="490"/>
      <c r="N164" s="490"/>
      <c r="O164" s="490"/>
      <c r="P164" s="490"/>
      <c r="Q164" s="490"/>
    </row>
    <row r="165" spans="1:20" s="402" customFormat="1" ht="10.5" customHeight="1">
      <c r="A165" s="491" t="s">
        <v>21</v>
      </c>
      <c r="B165" s="492" t="s">
        <v>579</v>
      </c>
      <c r="C165" s="493"/>
      <c r="D165" s="494"/>
      <c r="E165" s="495"/>
      <c r="F165" s="495"/>
      <c r="G165" s="495"/>
      <c r="H165" s="495"/>
      <c r="I165" s="495"/>
      <c r="J165" s="495"/>
      <c r="K165" s="495"/>
      <c r="L165" s="495"/>
      <c r="M165" s="495"/>
      <c r="N165" s="495"/>
      <c r="O165" s="495"/>
      <c r="P165" s="495"/>
      <c r="Q165" s="495"/>
    </row>
    <row r="166" spans="1:20" s="402" customFormat="1" ht="10.5" customHeight="1">
      <c r="A166" s="491" t="s">
        <v>22</v>
      </c>
      <c r="B166" s="492" t="s">
        <v>580</v>
      </c>
      <c r="C166" s="493"/>
      <c r="D166" s="494"/>
      <c r="E166" s="495"/>
      <c r="F166" s="495"/>
      <c r="G166" s="495"/>
      <c r="H166" s="495"/>
      <c r="I166" s="495"/>
      <c r="J166" s="495"/>
      <c r="K166" s="495"/>
      <c r="L166" s="495"/>
      <c r="M166" s="495"/>
      <c r="N166" s="495"/>
      <c r="O166" s="495"/>
      <c r="P166" s="495"/>
      <c r="Q166" s="495"/>
    </row>
    <row r="167" spans="1:20" s="402" customFormat="1" ht="10.5" customHeight="1">
      <c r="A167" s="491" t="s">
        <v>23</v>
      </c>
      <c r="B167" s="492" t="s">
        <v>581</v>
      </c>
      <c r="C167" s="493"/>
      <c r="D167" s="494"/>
      <c r="E167" s="495"/>
      <c r="F167" s="495"/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</row>
    <row r="168" spans="1:20" s="402" customFormat="1" ht="36" customHeight="1">
      <c r="A168" s="491"/>
      <c r="B168" s="492"/>
      <c r="C168" s="493"/>
      <c r="D168" s="494"/>
      <c r="E168" s="495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</row>
    <row r="169" spans="1:20" ht="22.5" customHeight="1">
      <c r="A169" s="489"/>
      <c r="B169" s="489"/>
      <c r="C169" s="489"/>
      <c r="D169" s="490"/>
      <c r="E169" s="490"/>
      <c r="F169" s="490"/>
      <c r="G169" s="490"/>
      <c r="H169" s="490"/>
      <c r="I169" s="490"/>
      <c r="J169" s="490"/>
      <c r="K169" s="490"/>
      <c r="L169" s="490"/>
      <c r="M169" s="490"/>
      <c r="N169" s="490"/>
      <c r="O169" s="490"/>
      <c r="P169" s="490"/>
      <c r="Q169" s="490"/>
    </row>
    <row r="170" spans="1:20" ht="22.5" customHeight="1">
      <c r="A170" s="489"/>
      <c r="B170" s="489"/>
      <c r="C170" s="489"/>
      <c r="D170" s="490"/>
      <c r="E170" s="490"/>
      <c r="F170" s="490"/>
      <c r="G170" s="490"/>
      <c r="H170" s="490"/>
      <c r="I170" s="490"/>
      <c r="J170" s="490"/>
      <c r="K170" s="490"/>
      <c r="L170" s="490"/>
      <c r="M170" s="490"/>
      <c r="N170" s="490"/>
      <c r="O170" s="490"/>
      <c r="P170" s="490"/>
      <c r="Q170" s="490"/>
    </row>
    <row r="171" spans="1:20" ht="22.5" customHeight="1">
      <c r="A171" s="489"/>
      <c r="B171" s="489"/>
      <c r="C171" s="489"/>
      <c r="D171" s="490"/>
      <c r="E171" s="490"/>
      <c r="F171" s="490"/>
      <c r="G171" s="490"/>
      <c r="H171" s="490"/>
      <c r="I171" s="490"/>
      <c r="J171" s="490"/>
      <c r="K171" s="490"/>
      <c r="L171" s="490"/>
      <c r="M171" s="490"/>
      <c r="N171" s="490"/>
      <c r="O171" s="490"/>
      <c r="P171" s="490"/>
      <c r="Q171" s="490"/>
    </row>
    <row r="172" spans="1:20" ht="22.5" customHeight="1">
      <c r="A172" s="489"/>
      <c r="B172" s="489"/>
      <c r="C172" s="489"/>
      <c r="D172" s="490"/>
      <c r="E172" s="490"/>
      <c r="F172" s="490"/>
      <c r="G172" s="490"/>
      <c r="H172" s="490"/>
      <c r="I172" s="490"/>
      <c r="J172" s="490"/>
      <c r="K172" s="490"/>
      <c r="L172" s="490"/>
      <c r="M172" s="490"/>
      <c r="N172" s="490"/>
      <c r="O172" s="490"/>
      <c r="P172" s="490"/>
      <c r="Q172" s="490"/>
    </row>
    <row r="173" spans="1:20" ht="22.5" customHeight="1">
      <c r="A173" s="489"/>
      <c r="B173" s="489"/>
      <c r="C173" s="489"/>
      <c r="D173" s="490"/>
      <c r="E173" s="490"/>
      <c r="F173" s="490"/>
      <c r="G173" s="490"/>
      <c r="H173" s="490"/>
      <c r="I173" s="490"/>
      <c r="J173" s="490"/>
      <c r="K173" s="490"/>
      <c r="L173" s="490"/>
      <c r="M173" s="490"/>
      <c r="N173" s="490"/>
      <c r="O173" s="490"/>
      <c r="P173" s="490"/>
      <c r="Q173" s="490"/>
    </row>
    <row r="174" spans="1:20" ht="22.5" customHeight="1">
      <c r="A174" s="489"/>
      <c r="B174" s="489"/>
      <c r="C174" s="489"/>
      <c r="D174" s="490"/>
      <c r="E174" s="490"/>
      <c r="F174" s="490"/>
      <c r="G174" s="490"/>
      <c r="H174" s="490"/>
      <c r="I174" s="490"/>
      <c r="J174" s="490"/>
      <c r="K174" s="490"/>
      <c r="L174" s="490"/>
      <c r="M174" s="490"/>
      <c r="N174" s="490"/>
      <c r="O174" s="490"/>
      <c r="P174" s="490"/>
      <c r="Q174" s="490"/>
      <c r="R174" s="490"/>
      <c r="S174" s="490"/>
    </row>
    <row r="175" spans="1:20" ht="22.5" customHeight="1">
      <c r="A175" s="489"/>
      <c r="B175" s="489"/>
      <c r="C175" s="489"/>
      <c r="D175" s="490"/>
      <c r="E175" s="490"/>
      <c r="F175" s="490"/>
      <c r="G175" s="490"/>
      <c r="H175" s="490"/>
      <c r="I175" s="490"/>
      <c r="J175" s="490"/>
      <c r="K175" s="490"/>
      <c r="L175" s="490"/>
      <c r="M175" s="490"/>
      <c r="N175" s="490"/>
      <c r="O175" s="490"/>
      <c r="P175" s="490"/>
      <c r="Q175" s="490"/>
    </row>
    <row r="176" spans="1:20" ht="22.5" customHeight="1">
      <c r="A176" s="489"/>
      <c r="B176" s="489"/>
      <c r="C176" s="489"/>
      <c r="D176" s="490"/>
      <c r="E176" s="490"/>
      <c r="F176" s="490"/>
      <c r="G176" s="490"/>
      <c r="H176" s="490"/>
      <c r="I176" s="490"/>
      <c r="J176" s="490"/>
      <c r="K176" s="490"/>
      <c r="L176" s="490"/>
      <c r="M176" s="490"/>
      <c r="N176" s="490"/>
      <c r="O176" s="490"/>
      <c r="P176" s="490"/>
      <c r="Q176" s="490"/>
    </row>
    <row r="178" spans="4:7" ht="13.5">
      <c r="D178" s="496"/>
      <c r="E178" s="497"/>
      <c r="F178" s="497"/>
      <c r="G178" s="497"/>
    </row>
    <row r="179" spans="4:7" ht="13.5">
      <c r="D179" s="496"/>
      <c r="E179" s="497"/>
      <c r="F179" s="497"/>
      <c r="G179" s="497"/>
    </row>
    <row r="180" spans="4:7" ht="13.5">
      <c r="D180" s="496"/>
      <c r="E180" s="497"/>
      <c r="F180" s="497"/>
      <c r="G180" s="497"/>
    </row>
    <row r="181" spans="4:7" ht="16.5" customHeight="1">
      <c r="D181" s="498"/>
      <c r="E181" s="497"/>
      <c r="F181" s="497"/>
      <c r="G181" s="497"/>
    </row>
    <row r="182" spans="4:7">
      <c r="D182" s="498"/>
      <c r="E182" s="497"/>
      <c r="F182" s="497"/>
      <c r="G182" s="497"/>
    </row>
    <row r="183" spans="4:7">
      <c r="D183" s="498"/>
      <c r="E183" s="497"/>
      <c r="F183" s="497"/>
      <c r="G183" s="497"/>
    </row>
    <row r="184" spans="4:7">
      <c r="D184" s="498"/>
      <c r="E184" s="497"/>
      <c r="F184" s="497"/>
      <c r="G184" s="497"/>
    </row>
    <row r="185" spans="4:7">
      <c r="D185" s="498"/>
      <c r="E185" s="497"/>
      <c r="F185" s="497"/>
      <c r="G185" s="497"/>
    </row>
    <row r="186" spans="4:7">
      <c r="D186" s="498"/>
      <c r="E186" s="497"/>
      <c r="F186" s="497"/>
      <c r="G186" s="497"/>
    </row>
    <row r="187" spans="4:7">
      <c r="D187" s="498"/>
      <c r="E187" s="497"/>
      <c r="F187" s="497"/>
      <c r="G187" s="497"/>
    </row>
    <row r="188" spans="4:7">
      <c r="D188" s="498"/>
      <c r="E188" s="497"/>
      <c r="F188" s="497"/>
      <c r="G188" s="497"/>
    </row>
    <row r="189" spans="4:7">
      <c r="D189" s="498"/>
      <c r="E189" s="497"/>
      <c r="F189" s="497"/>
      <c r="G189" s="497"/>
    </row>
    <row r="190" spans="4:7">
      <c r="D190" s="498"/>
      <c r="E190" s="497"/>
      <c r="F190" s="497"/>
      <c r="G190" s="497"/>
    </row>
    <row r="191" spans="4:7">
      <c r="D191" s="498"/>
      <c r="E191" s="497"/>
      <c r="F191" s="497"/>
      <c r="G191" s="497"/>
    </row>
    <row r="192" spans="4:7">
      <c r="D192" s="498"/>
      <c r="E192" s="497"/>
      <c r="F192" s="497"/>
      <c r="G192" s="497"/>
    </row>
    <row r="193" spans="4:7">
      <c r="D193" s="498"/>
      <c r="E193" s="497"/>
      <c r="F193" s="497"/>
      <c r="G193" s="497"/>
    </row>
    <row r="194" spans="4:7">
      <c r="D194" s="498"/>
      <c r="E194" s="497"/>
      <c r="F194" s="497"/>
      <c r="G194" s="497"/>
    </row>
    <row r="195" spans="4:7">
      <c r="D195" s="498"/>
      <c r="E195" s="497"/>
      <c r="F195" s="497"/>
      <c r="G195" s="497"/>
    </row>
    <row r="196" spans="4:7">
      <c r="D196" s="498"/>
      <c r="E196" s="497"/>
      <c r="F196" s="497"/>
      <c r="G196" s="497"/>
    </row>
    <row r="197" spans="4:7">
      <c r="D197" s="498"/>
      <c r="E197" s="497"/>
      <c r="F197" s="497"/>
      <c r="G197" s="497"/>
    </row>
    <row r="198" spans="4:7">
      <c r="D198" s="498"/>
      <c r="E198" s="497"/>
      <c r="F198" s="497"/>
      <c r="G198" s="497"/>
    </row>
    <row r="199" spans="4:7">
      <c r="D199" s="498"/>
      <c r="E199" s="497"/>
      <c r="F199" s="497"/>
      <c r="G199" s="497"/>
    </row>
    <row r="200" spans="4:7">
      <c r="D200" s="498"/>
      <c r="E200" s="497"/>
      <c r="F200" s="497"/>
      <c r="G200" s="497"/>
    </row>
    <row r="201" spans="4:7">
      <c r="D201" s="498"/>
      <c r="E201" s="497"/>
      <c r="F201" s="497"/>
      <c r="G201" s="497"/>
    </row>
    <row r="202" spans="4:7">
      <c r="D202" s="498"/>
      <c r="E202" s="497"/>
      <c r="F202" s="497"/>
      <c r="G202" s="497"/>
    </row>
    <row r="203" spans="4:7">
      <c r="D203" s="498"/>
      <c r="E203" s="497"/>
      <c r="F203" s="497"/>
      <c r="G203" s="497"/>
    </row>
    <row r="204" spans="4:7">
      <c r="D204" s="498"/>
      <c r="E204" s="497"/>
      <c r="F204" s="497"/>
      <c r="G204" s="497"/>
    </row>
    <row r="205" spans="4:7">
      <c r="D205" s="498"/>
      <c r="E205" s="497"/>
      <c r="F205" s="497"/>
      <c r="G205" s="497"/>
    </row>
    <row r="206" spans="4:7">
      <c r="D206" s="498"/>
      <c r="E206" s="497"/>
      <c r="F206" s="497"/>
      <c r="G206" s="497"/>
    </row>
    <row r="207" spans="4:7">
      <c r="D207" s="498"/>
      <c r="E207" s="497"/>
      <c r="F207" s="497"/>
      <c r="G207" s="497"/>
    </row>
    <row r="208" spans="4:7">
      <c r="D208" s="498"/>
      <c r="E208" s="497"/>
      <c r="F208" s="497"/>
      <c r="G208" s="497"/>
    </row>
    <row r="209" spans="4:7">
      <c r="D209" s="498"/>
      <c r="E209" s="497"/>
      <c r="F209" s="497"/>
      <c r="G209" s="497"/>
    </row>
    <row r="210" spans="4:7">
      <c r="D210" s="498"/>
      <c r="E210" s="497"/>
      <c r="F210" s="497"/>
      <c r="G210" s="497"/>
    </row>
    <row r="211" spans="4:7">
      <c r="D211" s="498"/>
      <c r="E211" s="497"/>
      <c r="F211" s="497"/>
      <c r="G211" s="497"/>
    </row>
    <row r="212" spans="4:7">
      <c r="D212" s="498"/>
      <c r="E212" s="497"/>
      <c r="F212" s="497"/>
      <c r="G212" s="497"/>
    </row>
    <row r="213" spans="4:7">
      <c r="D213" s="498"/>
      <c r="E213" s="497"/>
      <c r="F213" s="497"/>
      <c r="G213" s="497"/>
    </row>
    <row r="214" spans="4:7">
      <c r="D214" s="498"/>
      <c r="E214" s="497"/>
      <c r="F214" s="497"/>
      <c r="G214" s="497"/>
    </row>
    <row r="215" spans="4:7">
      <c r="D215" s="498"/>
      <c r="E215" s="497"/>
      <c r="F215" s="497"/>
      <c r="G215" s="497"/>
    </row>
    <row r="216" spans="4:7">
      <c r="D216" s="498"/>
      <c r="E216" s="497"/>
      <c r="F216" s="497"/>
      <c r="G216" s="497"/>
    </row>
    <row r="217" spans="4:7">
      <c r="D217" s="498"/>
      <c r="E217" s="497"/>
      <c r="F217" s="497"/>
      <c r="G217" s="497"/>
    </row>
    <row r="218" spans="4:7">
      <c r="D218" s="498"/>
      <c r="E218" s="497"/>
      <c r="F218" s="497"/>
      <c r="G218" s="497"/>
    </row>
    <row r="219" spans="4:7">
      <c r="D219" s="498"/>
      <c r="E219" s="497"/>
      <c r="F219" s="497"/>
      <c r="G219" s="497"/>
    </row>
    <row r="220" spans="4:7">
      <c r="D220" s="498"/>
      <c r="E220" s="497"/>
      <c r="F220" s="497"/>
      <c r="G220" s="497"/>
    </row>
    <row r="221" spans="4:7">
      <c r="D221" s="498"/>
      <c r="E221" s="497"/>
      <c r="F221" s="497"/>
      <c r="G221" s="497"/>
    </row>
    <row r="222" spans="4:7">
      <c r="D222" s="498"/>
      <c r="E222" s="497"/>
      <c r="F222" s="497"/>
      <c r="G222" s="497"/>
    </row>
    <row r="223" spans="4:7">
      <c r="D223" s="498"/>
      <c r="E223" s="497"/>
      <c r="F223" s="497"/>
      <c r="G223" s="497"/>
    </row>
    <row r="224" spans="4:7">
      <c r="D224" s="498"/>
      <c r="E224" s="497"/>
      <c r="F224" s="497"/>
      <c r="G224" s="497"/>
    </row>
    <row r="225" spans="4:7">
      <c r="D225" s="498"/>
      <c r="E225" s="497"/>
      <c r="F225" s="497"/>
      <c r="G225" s="497"/>
    </row>
    <row r="226" spans="4:7">
      <c r="D226" s="498"/>
      <c r="E226" s="497"/>
      <c r="F226" s="497"/>
      <c r="G226" s="497"/>
    </row>
    <row r="227" spans="4:7">
      <c r="D227" s="498"/>
      <c r="E227" s="497"/>
      <c r="F227" s="497"/>
      <c r="G227" s="497"/>
    </row>
    <row r="228" spans="4:7">
      <c r="D228" s="498"/>
      <c r="E228" s="497"/>
      <c r="F228" s="497"/>
      <c r="G228" s="497"/>
    </row>
    <row r="229" spans="4:7">
      <c r="D229" s="498"/>
      <c r="E229" s="497"/>
      <c r="F229" s="497"/>
      <c r="G229" s="497"/>
    </row>
    <row r="230" spans="4:7">
      <c r="D230" s="498"/>
      <c r="E230" s="497"/>
      <c r="F230" s="497"/>
      <c r="G230" s="497"/>
    </row>
    <row r="231" spans="4:7">
      <c r="D231" s="498"/>
      <c r="E231" s="497"/>
      <c r="F231" s="497"/>
      <c r="G231" s="497"/>
    </row>
    <row r="232" spans="4:7">
      <c r="D232" s="498"/>
      <c r="E232" s="497"/>
      <c r="F232" s="497"/>
      <c r="G232" s="497"/>
    </row>
    <row r="233" spans="4:7">
      <c r="D233" s="498"/>
      <c r="E233" s="497"/>
      <c r="F233" s="497"/>
      <c r="G233" s="497"/>
    </row>
    <row r="234" spans="4:7">
      <c r="D234" s="498"/>
      <c r="E234" s="497"/>
      <c r="F234" s="497"/>
      <c r="G234" s="497"/>
    </row>
    <row r="235" spans="4:7">
      <c r="D235" s="498"/>
      <c r="E235" s="497"/>
      <c r="F235" s="497"/>
      <c r="G235" s="497"/>
    </row>
    <row r="236" spans="4:7">
      <c r="D236" s="498"/>
      <c r="E236" s="497"/>
      <c r="F236" s="497"/>
      <c r="G236" s="497"/>
    </row>
    <row r="237" spans="4:7">
      <c r="D237" s="498"/>
      <c r="E237" s="497"/>
      <c r="F237" s="497"/>
      <c r="G237" s="497"/>
    </row>
    <row r="238" spans="4:7">
      <c r="D238" s="498"/>
      <c r="E238" s="497"/>
      <c r="F238" s="497"/>
      <c r="G238" s="497"/>
    </row>
    <row r="239" spans="4:7">
      <c r="D239" s="498"/>
      <c r="E239" s="497"/>
      <c r="F239" s="497"/>
      <c r="G239" s="497"/>
    </row>
    <row r="240" spans="4:7">
      <c r="D240" s="498"/>
      <c r="E240" s="497"/>
      <c r="F240" s="497"/>
      <c r="G240" s="497"/>
    </row>
    <row r="241" spans="4:7">
      <c r="D241" s="498"/>
      <c r="E241" s="497"/>
      <c r="F241" s="497"/>
      <c r="G241" s="497"/>
    </row>
    <row r="242" spans="4:7">
      <c r="D242" s="498"/>
      <c r="E242" s="497"/>
      <c r="F242" s="497"/>
      <c r="G242" s="497"/>
    </row>
    <row r="243" spans="4:7">
      <c r="D243" s="498"/>
      <c r="E243" s="497"/>
      <c r="F243" s="497"/>
      <c r="G243" s="497"/>
    </row>
    <row r="244" spans="4:7">
      <c r="D244" s="498"/>
      <c r="E244" s="497"/>
      <c r="F244" s="497"/>
      <c r="G244" s="497"/>
    </row>
    <row r="245" spans="4:7">
      <c r="D245" s="498"/>
      <c r="E245" s="497"/>
      <c r="F245" s="497"/>
      <c r="G245" s="497"/>
    </row>
    <row r="246" spans="4:7">
      <c r="D246" s="498"/>
      <c r="E246" s="497"/>
      <c r="F246" s="497"/>
      <c r="G246" s="497"/>
    </row>
    <row r="247" spans="4:7">
      <c r="D247" s="498"/>
      <c r="E247" s="497"/>
      <c r="F247" s="497"/>
      <c r="G247" s="497"/>
    </row>
    <row r="248" spans="4:7">
      <c r="D248" s="498"/>
      <c r="E248" s="497"/>
      <c r="F248" s="497"/>
      <c r="G248" s="497"/>
    </row>
    <row r="249" spans="4:7">
      <c r="D249" s="498"/>
      <c r="E249" s="497"/>
      <c r="F249" s="497"/>
      <c r="G249" s="497"/>
    </row>
    <row r="250" spans="4:7">
      <c r="D250" s="498"/>
      <c r="E250" s="497"/>
      <c r="F250" s="497"/>
      <c r="G250" s="497"/>
    </row>
    <row r="251" spans="4:7">
      <c r="D251" s="498"/>
      <c r="E251" s="497"/>
      <c r="F251" s="497"/>
      <c r="G251" s="497"/>
    </row>
    <row r="252" spans="4:7">
      <c r="D252" s="498"/>
      <c r="E252" s="497"/>
      <c r="F252" s="497"/>
      <c r="G252" s="497"/>
    </row>
    <row r="253" spans="4:7">
      <c r="D253" s="498"/>
      <c r="E253" s="497"/>
      <c r="F253" s="497"/>
      <c r="G253" s="497"/>
    </row>
    <row r="254" spans="4:7">
      <c r="D254" s="498"/>
      <c r="E254" s="497"/>
      <c r="F254" s="497"/>
      <c r="G254" s="497"/>
    </row>
    <row r="255" spans="4:7">
      <c r="D255" s="498"/>
      <c r="E255" s="497"/>
      <c r="F255" s="497"/>
      <c r="G255" s="497"/>
    </row>
    <row r="256" spans="4:7">
      <c r="D256" s="498"/>
      <c r="E256" s="497"/>
      <c r="F256" s="497"/>
      <c r="G256" s="497"/>
    </row>
    <row r="257" spans="4:7">
      <c r="D257" s="498"/>
      <c r="E257" s="497"/>
      <c r="F257" s="497"/>
      <c r="G257" s="497"/>
    </row>
    <row r="258" spans="4:7">
      <c r="D258" s="498"/>
      <c r="E258" s="497"/>
      <c r="F258" s="497"/>
      <c r="G258" s="497"/>
    </row>
    <row r="259" spans="4:7">
      <c r="D259" s="498"/>
      <c r="E259" s="497"/>
      <c r="F259" s="497"/>
      <c r="G259" s="497"/>
    </row>
    <row r="260" spans="4:7">
      <c r="D260" s="498"/>
      <c r="E260" s="497"/>
      <c r="F260" s="497"/>
      <c r="G260" s="497"/>
    </row>
    <row r="261" spans="4:7">
      <c r="D261" s="498"/>
      <c r="E261" s="497"/>
      <c r="F261" s="497"/>
      <c r="G261" s="497"/>
    </row>
    <row r="262" spans="4:7">
      <c r="D262" s="498"/>
      <c r="E262" s="497"/>
      <c r="F262" s="497"/>
      <c r="G262" s="497"/>
    </row>
    <row r="263" spans="4:7">
      <c r="D263" s="498"/>
      <c r="E263" s="497"/>
      <c r="F263" s="497"/>
      <c r="G263" s="497"/>
    </row>
    <row r="264" spans="4:7">
      <c r="D264" s="498"/>
      <c r="E264" s="497"/>
      <c r="F264" s="497"/>
      <c r="G264" s="497"/>
    </row>
    <row r="265" spans="4:7">
      <c r="D265" s="498"/>
      <c r="E265" s="497"/>
      <c r="F265" s="497"/>
      <c r="G265" s="497"/>
    </row>
  </sheetData>
  <sheetProtection password="C25B" sheet="1"/>
  <mergeCells count="95">
    <mergeCell ref="A161:B163"/>
    <mergeCell ref="A149:A151"/>
    <mergeCell ref="B149:B151"/>
    <mergeCell ref="A153:A155"/>
    <mergeCell ref="B153:B155"/>
    <mergeCell ref="A157:A159"/>
    <mergeCell ref="B157:B159"/>
    <mergeCell ref="A137:A139"/>
    <mergeCell ref="B137:B139"/>
    <mergeCell ref="A141:A143"/>
    <mergeCell ref="B141:B143"/>
    <mergeCell ref="A145:A147"/>
    <mergeCell ref="B145:B147"/>
    <mergeCell ref="A125:A127"/>
    <mergeCell ref="B125:B127"/>
    <mergeCell ref="A129:A131"/>
    <mergeCell ref="B129:B131"/>
    <mergeCell ref="A133:A135"/>
    <mergeCell ref="B133:B135"/>
    <mergeCell ref="A113:A115"/>
    <mergeCell ref="B113:B115"/>
    <mergeCell ref="A117:A119"/>
    <mergeCell ref="B117:B119"/>
    <mergeCell ref="A121:A123"/>
    <mergeCell ref="B121:B123"/>
    <mergeCell ref="A101:A103"/>
    <mergeCell ref="B101:B103"/>
    <mergeCell ref="A105:A107"/>
    <mergeCell ref="B105:B107"/>
    <mergeCell ref="A109:A111"/>
    <mergeCell ref="B109:B111"/>
    <mergeCell ref="A89:A91"/>
    <mergeCell ref="B89:B91"/>
    <mergeCell ref="A93:A95"/>
    <mergeCell ref="B93:B95"/>
    <mergeCell ref="A97:A99"/>
    <mergeCell ref="B97:B99"/>
    <mergeCell ref="A77:A79"/>
    <mergeCell ref="B77:B79"/>
    <mergeCell ref="A81:A83"/>
    <mergeCell ref="B81:B83"/>
    <mergeCell ref="A85:A87"/>
    <mergeCell ref="B85:B87"/>
    <mergeCell ref="A65:A67"/>
    <mergeCell ref="B65:B67"/>
    <mergeCell ref="A69:A71"/>
    <mergeCell ref="B69:B71"/>
    <mergeCell ref="A73:A75"/>
    <mergeCell ref="B73:B75"/>
    <mergeCell ref="A53:A55"/>
    <mergeCell ref="B53:B55"/>
    <mergeCell ref="A57:A59"/>
    <mergeCell ref="B57:B59"/>
    <mergeCell ref="A61:A63"/>
    <mergeCell ref="B61:B63"/>
    <mergeCell ref="A41:A43"/>
    <mergeCell ref="B41:B43"/>
    <mergeCell ref="A45:A47"/>
    <mergeCell ref="B45:B47"/>
    <mergeCell ref="A49:A51"/>
    <mergeCell ref="B49:B51"/>
    <mergeCell ref="A29:A31"/>
    <mergeCell ref="B29:B31"/>
    <mergeCell ref="A33:A35"/>
    <mergeCell ref="B33:B35"/>
    <mergeCell ref="A37:A39"/>
    <mergeCell ref="B37:B39"/>
    <mergeCell ref="A17:A19"/>
    <mergeCell ref="B17:B19"/>
    <mergeCell ref="A21:A23"/>
    <mergeCell ref="B21:B23"/>
    <mergeCell ref="A25:A27"/>
    <mergeCell ref="B25:B27"/>
    <mergeCell ref="A13:A15"/>
    <mergeCell ref="B13:B15"/>
    <mergeCell ref="G9:G10"/>
    <mergeCell ref="H9:I9"/>
    <mergeCell ref="J9:J10"/>
    <mergeCell ref="K9:K10"/>
    <mergeCell ref="F7:F10"/>
    <mergeCell ref="G7:Q7"/>
    <mergeCell ref="N9:N10"/>
    <mergeCell ref="O9:O10"/>
    <mergeCell ref="P9:P10"/>
    <mergeCell ref="Q9:Q10"/>
    <mergeCell ref="G8:M8"/>
    <mergeCell ref="N8:Q8"/>
    <mergeCell ref="L9:L10"/>
    <mergeCell ref="M9:M10"/>
    <mergeCell ref="A4:P4"/>
    <mergeCell ref="A5:Q5"/>
    <mergeCell ref="A7:A10"/>
    <mergeCell ref="B7:B10"/>
    <mergeCell ref="D7:D10"/>
    <mergeCell ref="E7:E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6" orientation="landscape" r:id="rId1"/>
  <headerFooter alignWithMargins="0"/>
  <rowBreaks count="2" manualBreakCount="2">
    <brk id="192" max="13" man="1"/>
    <brk id="287" max="13" man="1"/>
  </rowBreaks>
  <colBreaks count="1" manualBreakCount="1">
    <brk id="17" max="15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0"/>
  <sheetViews>
    <sheetView view="pageBreakPreview" topLeftCell="A29" zoomScaleNormal="100" zoomScaleSheetLayoutView="100" workbookViewId="0">
      <selection activeCell="N1" sqref="A1:N359"/>
    </sheetView>
  </sheetViews>
  <sheetFormatPr defaultColWidth="8.875" defaultRowHeight="12.75"/>
  <cols>
    <col min="1" max="1" width="3.5" style="129" customWidth="1"/>
    <col min="2" max="2" width="7.875" style="3" customWidth="1"/>
    <col min="3" max="3" width="44.5" style="3" customWidth="1"/>
    <col min="4" max="4" width="1.875" style="129" customWidth="1"/>
    <col min="5" max="5" width="13.375" style="3" customWidth="1"/>
    <col min="6" max="6" width="13" style="6" customWidth="1"/>
    <col min="7" max="7" width="11" style="6" customWidth="1"/>
    <col min="8" max="8" width="1.5" style="3" customWidth="1"/>
    <col min="9" max="9" width="47" style="3" customWidth="1"/>
    <col min="10" max="10" width="1.875" style="131" customWidth="1"/>
    <col min="11" max="11" width="13" style="3" customWidth="1"/>
    <col min="12" max="12" width="14.375" style="6" customWidth="1"/>
    <col min="13" max="14" width="10.25" style="6" customWidth="1"/>
    <col min="15" max="16384" width="8.875" style="3"/>
  </cols>
  <sheetData>
    <row r="1" spans="1:36" s="85" customFormat="1">
      <c r="A1" s="84"/>
      <c r="D1" s="84"/>
      <c r="G1" s="5"/>
      <c r="H1" s="5"/>
      <c r="I1" s="5"/>
      <c r="J1" s="5"/>
      <c r="K1" s="5" t="s">
        <v>1240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</row>
    <row r="2" spans="1:36" s="85" customFormat="1">
      <c r="A2" s="84"/>
      <c r="D2" s="84"/>
      <c r="G2" s="5"/>
      <c r="H2" s="5"/>
      <c r="I2" s="5"/>
      <c r="J2" s="5"/>
      <c r="K2" s="5" t="s">
        <v>1043</v>
      </c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</row>
    <row r="3" spans="1:36" s="85" customFormat="1">
      <c r="A3" s="84"/>
      <c r="D3" s="84"/>
      <c r="G3" s="5"/>
      <c r="H3" s="5"/>
      <c r="I3" s="5"/>
      <c r="J3" s="5"/>
      <c r="K3" s="5" t="s">
        <v>1241</v>
      </c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</row>
    <row r="4" spans="1:36" s="85" customFormat="1" ht="2.25" customHeight="1">
      <c r="A4" s="84"/>
      <c r="D4" s="84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</row>
    <row r="5" spans="1:36" s="95" customFormat="1" ht="30.6" customHeight="1">
      <c r="A5" s="1208" t="s">
        <v>413</v>
      </c>
      <c r="B5" s="1208"/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94"/>
    </row>
    <row r="6" spans="1:36" s="87" customFormat="1" ht="3.6" customHeight="1">
      <c r="A6" s="1432"/>
      <c r="B6" s="1432"/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</row>
    <row r="7" spans="1:36">
      <c r="A7" s="134" t="s">
        <v>414</v>
      </c>
      <c r="B7" s="135"/>
      <c r="C7" s="135"/>
      <c r="D7" s="136"/>
      <c r="F7" s="3"/>
      <c r="G7" s="3"/>
      <c r="L7" s="3"/>
      <c r="M7" s="3"/>
      <c r="N7" s="3" t="s">
        <v>2</v>
      </c>
    </row>
    <row r="8" spans="1:36" s="138" customFormat="1" ht="12.75" customHeight="1">
      <c r="A8" s="1433" t="s">
        <v>228</v>
      </c>
      <c r="B8" s="1428" t="s">
        <v>415</v>
      </c>
      <c r="C8" s="1428" t="s">
        <v>416</v>
      </c>
      <c r="D8" s="1434" t="s">
        <v>5</v>
      </c>
      <c r="E8" s="1428" t="s">
        <v>417</v>
      </c>
      <c r="F8" s="1428"/>
      <c r="G8" s="1428"/>
      <c r="H8" s="1428"/>
      <c r="I8" s="1428" t="s">
        <v>416</v>
      </c>
      <c r="J8" s="1428" t="s">
        <v>5</v>
      </c>
      <c r="K8" s="1428" t="s">
        <v>418</v>
      </c>
      <c r="L8" s="1428"/>
      <c r="M8" s="1428"/>
      <c r="N8" s="1428"/>
    </row>
    <row r="9" spans="1:36" s="138" customFormat="1" ht="14.25" customHeight="1">
      <c r="A9" s="1433"/>
      <c r="B9" s="1428"/>
      <c r="C9" s="1428"/>
      <c r="D9" s="1434"/>
      <c r="E9" s="1428" t="s">
        <v>6</v>
      </c>
      <c r="F9" s="1429" t="s">
        <v>9</v>
      </c>
      <c r="G9" s="1429"/>
      <c r="H9" s="1428"/>
      <c r="I9" s="1428"/>
      <c r="J9" s="1428"/>
      <c r="K9" s="1430" t="s">
        <v>6</v>
      </c>
      <c r="L9" s="1429" t="s">
        <v>9</v>
      </c>
      <c r="M9" s="1429"/>
      <c r="N9" s="1429"/>
    </row>
    <row r="10" spans="1:36" s="138" customFormat="1" ht="25.5">
      <c r="A10" s="1433"/>
      <c r="B10" s="1428"/>
      <c r="C10" s="1428"/>
      <c r="D10" s="1434"/>
      <c r="E10" s="1428"/>
      <c r="F10" s="137" t="s">
        <v>419</v>
      </c>
      <c r="G10" s="137" t="s">
        <v>420</v>
      </c>
      <c r="H10" s="1428"/>
      <c r="I10" s="1428"/>
      <c r="J10" s="1428"/>
      <c r="K10" s="1430"/>
      <c r="L10" s="137" t="s">
        <v>419</v>
      </c>
      <c r="M10" s="137" t="s">
        <v>420</v>
      </c>
      <c r="N10" s="137" t="s">
        <v>421</v>
      </c>
    </row>
    <row r="11" spans="1:36" s="145" customFormat="1">
      <c r="A11" s="139">
        <v>1</v>
      </c>
      <c r="B11" s="140">
        <v>2</v>
      </c>
      <c r="C11" s="139">
        <v>3</v>
      </c>
      <c r="D11" s="141"/>
      <c r="E11" s="139">
        <v>4</v>
      </c>
      <c r="F11" s="142">
        <v>5</v>
      </c>
      <c r="G11" s="142">
        <v>6</v>
      </c>
      <c r="H11" s="143"/>
      <c r="I11" s="139">
        <v>7</v>
      </c>
      <c r="J11" s="144"/>
      <c r="K11" s="139">
        <v>8</v>
      </c>
      <c r="L11" s="142">
        <v>9</v>
      </c>
      <c r="M11" s="142">
        <v>10</v>
      </c>
      <c r="N11" s="142">
        <v>11</v>
      </c>
    </row>
    <row r="12" spans="1:36" ht="4.5" customHeight="1">
      <c r="A12" s="146"/>
      <c r="B12" s="147"/>
      <c r="C12" s="148"/>
      <c r="D12" s="149"/>
      <c r="E12" s="148"/>
      <c r="F12" s="150"/>
      <c r="G12" s="150"/>
      <c r="H12" s="151"/>
      <c r="I12" s="148"/>
      <c r="J12" s="152"/>
      <c r="K12" s="148"/>
      <c r="L12" s="150"/>
      <c r="M12" s="150"/>
      <c r="N12" s="150"/>
    </row>
    <row r="13" spans="1:36" s="157" customFormat="1" ht="15.6" customHeight="1">
      <c r="A13" s="1400"/>
      <c r="B13" s="1400"/>
      <c r="C13" s="1425" t="s">
        <v>20</v>
      </c>
      <c r="D13" s="153" t="s">
        <v>21</v>
      </c>
      <c r="E13" s="154">
        <f t="shared" ref="E13:G14" si="0">E33+E57+E89+E105+E137+E157+E189+E253+E273+E301+E17+E173</f>
        <v>40622833.369999997</v>
      </c>
      <c r="F13" s="154">
        <f t="shared" si="0"/>
        <v>40464833.369999997</v>
      </c>
      <c r="G13" s="154">
        <f t="shared" si="0"/>
        <v>158000</v>
      </c>
      <c r="H13" s="155"/>
      <c r="I13" s="1426" t="s">
        <v>20</v>
      </c>
      <c r="J13" s="156" t="s">
        <v>21</v>
      </c>
      <c r="K13" s="154">
        <f t="shared" ref="K13:N14" si="1">K33+K57+K89+K105+K137+K157+K189+K253+K273+K301+K17+K173</f>
        <v>40622930.369999997</v>
      </c>
      <c r="L13" s="154">
        <f t="shared" si="1"/>
        <v>40464833.369999997</v>
      </c>
      <c r="M13" s="154">
        <f t="shared" si="1"/>
        <v>158000</v>
      </c>
      <c r="N13" s="154">
        <f t="shared" si="1"/>
        <v>97</v>
      </c>
    </row>
    <row r="14" spans="1:36" s="157" customFormat="1" ht="15.75">
      <c r="A14" s="1400"/>
      <c r="B14" s="1400"/>
      <c r="C14" s="1425"/>
      <c r="D14" s="153" t="s">
        <v>22</v>
      </c>
      <c r="E14" s="154">
        <f t="shared" si="0"/>
        <v>1493467.71</v>
      </c>
      <c r="F14" s="154">
        <f t="shared" si="0"/>
        <v>1493467.71</v>
      </c>
      <c r="G14" s="154" t="e">
        <f t="shared" si="0"/>
        <v>#VALUE!</v>
      </c>
      <c r="H14" s="158"/>
      <c r="I14" s="1426"/>
      <c r="J14" s="156" t="s">
        <v>22</v>
      </c>
      <c r="K14" s="154">
        <f t="shared" si="1"/>
        <v>1493467.71</v>
      </c>
      <c r="L14" s="154">
        <f t="shared" si="1"/>
        <v>1493467.71</v>
      </c>
      <c r="M14" s="154">
        <f t="shared" si="1"/>
        <v>0</v>
      </c>
      <c r="N14" s="154">
        <f t="shared" si="1"/>
        <v>0</v>
      </c>
    </row>
    <row r="15" spans="1:36" s="157" customFormat="1" ht="15.75">
      <c r="A15" s="1400"/>
      <c r="B15" s="1400"/>
      <c r="C15" s="1425"/>
      <c r="D15" s="153" t="s">
        <v>23</v>
      </c>
      <c r="E15" s="154">
        <f>E13+E14</f>
        <v>42116301.079999998</v>
      </c>
      <c r="F15" s="154">
        <f>F13+F14</f>
        <v>41958301.079999998</v>
      </c>
      <c r="G15" s="159" t="e">
        <f>G13+G14</f>
        <v>#VALUE!</v>
      </c>
      <c r="H15" s="160"/>
      <c r="I15" s="1426"/>
      <c r="J15" s="156" t="s">
        <v>23</v>
      </c>
      <c r="K15" s="154">
        <f>K13+K14</f>
        <v>42116398.079999998</v>
      </c>
      <c r="L15" s="154">
        <f>L13+L14</f>
        <v>41958301.079999998</v>
      </c>
      <c r="M15" s="154">
        <f>M13+M14</f>
        <v>158000</v>
      </c>
      <c r="N15" s="154">
        <f>N13+N14</f>
        <v>97</v>
      </c>
    </row>
    <row r="16" spans="1:36" s="157" customFormat="1" ht="4.5" customHeight="1">
      <c r="A16" s="161"/>
      <c r="B16" s="161"/>
      <c r="C16" s="162"/>
      <c r="D16" s="153"/>
      <c r="E16" s="154"/>
      <c r="F16" s="154"/>
      <c r="G16" s="159"/>
      <c r="H16" s="158"/>
      <c r="I16" s="163"/>
      <c r="J16" s="156"/>
      <c r="K16" s="154"/>
      <c r="L16" s="154"/>
      <c r="M16" s="154"/>
      <c r="N16" s="154"/>
    </row>
    <row r="17" spans="1:14" s="167" customFormat="1" ht="13.9" customHeight="1">
      <c r="A17" s="1411"/>
      <c r="B17" s="1412" t="s">
        <v>24</v>
      </c>
      <c r="C17" s="1413" t="s">
        <v>25</v>
      </c>
      <c r="D17" s="164" t="s">
        <v>21</v>
      </c>
      <c r="E17" s="37">
        <f t="shared" ref="E17:G18" si="2">E21</f>
        <v>100863.36</v>
      </c>
      <c r="F17" s="31">
        <f t="shared" si="2"/>
        <v>100863.36</v>
      </c>
      <c r="G17" s="165">
        <f t="shared" si="2"/>
        <v>0</v>
      </c>
      <c r="H17" s="155"/>
      <c r="I17" s="1427" t="s">
        <v>25</v>
      </c>
      <c r="J17" s="166" t="s">
        <v>21</v>
      </c>
      <c r="K17" s="37">
        <f t="shared" ref="K17:N18" si="3">K21</f>
        <v>100863.36</v>
      </c>
      <c r="L17" s="31">
        <f t="shared" si="3"/>
        <v>100863.36</v>
      </c>
      <c r="M17" s="31">
        <f t="shared" si="3"/>
        <v>0</v>
      </c>
      <c r="N17" s="31">
        <f t="shared" si="3"/>
        <v>0</v>
      </c>
    </row>
    <row r="18" spans="1:14" s="167" customFormat="1" ht="14.25">
      <c r="A18" s="1411"/>
      <c r="B18" s="1412"/>
      <c r="C18" s="1413"/>
      <c r="D18" s="168" t="s">
        <v>22</v>
      </c>
      <c r="E18" s="37">
        <f t="shared" si="2"/>
        <v>11107.71</v>
      </c>
      <c r="F18" s="31">
        <f t="shared" si="2"/>
        <v>11107.71</v>
      </c>
      <c r="G18" s="165" t="str">
        <f t="shared" si="2"/>
        <v xml:space="preserve"> </v>
      </c>
      <c r="H18" s="158"/>
      <c r="I18" s="1427"/>
      <c r="J18" s="169" t="s">
        <v>22</v>
      </c>
      <c r="K18" s="37">
        <f t="shared" si="3"/>
        <v>11107.71</v>
      </c>
      <c r="L18" s="31">
        <f t="shared" si="3"/>
        <v>11107.71</v>
      </c>
      <c r="M18" s="31">
        <f t="shared" si="3"/>
        <v>0</v>
      </c>
      <c r="N18" s="31">
        <f t="shared" si="3"/>
        <v>0</v>
      </c>
    </row>
    <row r="19" spans="1:14" s="167" customFormat="1" ht="14.25">
      <c r="A19" s="1411"/>
      <c r="B19" s="1412"/>
      <c r="C19" s="1413"/>
      <c r="D19" s="168" t="s">
        <v>23</v>
      </c>
      <c r="E19" s="170">
        <f>E17+E18</f>
        <v>111971.07</v>
      </c>
      <c r="F19" s="170">
        <f>F17+F18</f>
        <v>111971.07</v>
      </c>
      <c r="G19" s="171" t="e">
        <f>G17+G18</f>
        <v>#VALUE!</v>
      </c>
      <c r="H19" s="160"/>
      <c r="I19" s="1427"/>
      <c r="J19" s="169" t="s">
        <v>23</v>
      </c>
      <c r="K19" s="37">
        <f>K17+K18</f>
        <v>111971.07</v>
      </c>
      <c r="L19" s="37">
        <f>L17+L18</f>
        <v>111971.07</v>
      </c>
      <c r="M19" s="37">
        <f>M17+M18</f>
        <v>0</v>
      </c>
      <c r="N19" s="37">
        <f>N17+N18</f>
        <v>0</v>
      </c>
    </row>
    <row r="20" spans="1:14" ht="4.5" customHeight="1">
      <c r="A20" s="172"/>
      <c r="B20" s="173"/>
      <c r="C20" s="174"/>
      <c r="D20" s="175"/>
      <c r="E20" s="176"/>
      <c r="F20" s="177"/>
      <c r="G20" s="178"/>
      <c r="H20" s="158"/>
      <c r="I20" s="179"/>
      <c r="J20" s="180"/>
      <c r="K20" s="176"/>
      <c r="L20" s="177"/>
      <c r="M20" s="177"/>
      <c r="N20" s="177"/>
    </row>
    <row r="21" spans="1:14" s="135" customFormat="1" ht="13.15" customHeight="1">
      <c r="A21" s="1403"/>
      <c r="B21" s="1404" t="s">
        <v>36</v>
      </c>
      <c r="C21" s="1405" t="s">
        <v>37</v>
      </c>
      <c r="D21" s="183" t="s">
        <v>21</v>
      </c>
      <c r="E21" s="184">
        <f t="shared" ref="E21:G22" si="4">E25</f>
        <v>100863.36</v>
      </c>
      <c r="F21" s="185">
        <f t="shared" si="4"/>
        <v>100863.36</v>
      </c>
      <c r="G21" s="186">
        <f t="shared" si="4"/>
        <v>0</v>
      </c>
      <c r="H21" s="158"/>
      <c r="I21" s="1406" t="s">
        <v>37</v>
      </c>
      <c r="J21" s="187" t="s">
        <v>21</v>
      </c>
      <c r="K21" s="184">
        <f t="shared" ref="K21:N22" si="5">K25</f>
        <v>100863.36</v>
      </c>
      <c r="L21" s="185">
        <f t="shared" si="5"/>
        <v>100863.36</v>
      </c>
      <c r="M21" s="185">
        <f t="shared" si="5"/>
        <v>0</v>
      </c>
      <c r="N21" s="185">
        <f t="shared" si="5"/>
        <v>0</v>
      </c>
    </row>
    <row r="22" spans="1:14" s="135" customFormat="1">
      <c r="A22" s="1403"/>
      <c r="B22" s="1404"/>
      <c r="C22" s="1405"/>
      <c r="D22" s="183" t="s">
        <v>22</v>
      </c>
      <c r="E22" s="184">
        <f t="shared" si="4"/>
        <v>11107.71</v>
      </c>
      <c r="F22" s="185">
        <f t="shared" si="4"/>
        <v>11107.71</v>
      </c>
      <c r="G22" s="186" t="s">
        <v>486</v>
      </c>
      <c r="H22" s="158"/>
      <c r="I22" s="1406"/>
      <c r="J22" s="187" t="s">
        <v>22</v>
      </c>
      <c r="K22" s="184">
        <f t="shared" si="5"/>
        <v>11107.71</v>
      </c>
      <c r="L22" s="185">
        <f t="shared" si="5"/>
        <v>11107.71</v>
      </c>
      <c r="M22" s="185">
        <f t="shared" si="5"/>
        <v>0</v>
      </c>
      <c r="N22" s="185">
        <f t="shared" si="5"/>
        <v>0</v>
      </c>
    </row>
    <row r="23" spans="1:14" s="135" customFormat="1">
      <c r="A23" s="1403"/>
      <c r="B23" s="1404"/>
      <c r="C23" s="1405"/>
      <c r="D23" s="183" t="s">
        <v>23</v>
      </c>
      <c r="E23" s="184">
        <f>E21+E22</f>
        <v>111971.07</v>
      </c>
      <c r="F23" s="184">
        <f>F21+F22</f>
        <v>111971.07</v>
      </c>
      <c r="G23" s="188" t="e">
        <f>G21+G22</f>
        <v>#VALUE!</v>
      </c>
      <c r="H23" s="158"/>
      <c r="I23" s="1406"/>
      <c r="J23" s="187" t="s">
        <v>23</v>
      </c>
      <c r="K23" s="184">
        <f>K21+K22</f>
        <v>111971.07</v>
      </c>
      <c r="L23" s="184">
        <f>L21+L22</f>
        <v>111971.07</v>
      </c>
      <c r="M23" s="184">
        <f>M21+M22</f>
        <v>0</v>
      </c>
      <c r="N23" s="184">
        <f>N21+N22</f>
        <v>0</v>
      </c>
    </row>
    <row r="24" spans="1:14" ht="4.5" customHeight="1">
      <c r="A24" s="146"/>
      <c r="B24" s="189"/>
      <c r="C24" s="148"/>
      <c r="D24" s="149"/>
      <c r="E24" s="190"/>
      <c r="F24" s="191"/>
      <c r="G24" s="192"/>
      <c r="H24" s="158"/>
      <c r="I24" s="193"/>
      <c r="J24" s="194"/>
      <c r="K24" s="190"/>
      <c r="L24" s="191"/>
      <c r="M24" s="191"/>
      <c r="N24" s="191"/>
    </row>
    <row r="25" spans="1:14" s="200" customFormat="1" ht="13.9" customHeight="1">
      <c r="A25" s="1407">
        <v>1</v>
      </c>
      <c r="B25" s="1408" t="s">
        <v>422</v>
      </c>
      <c r="C25" s="1408"/>
      <c r="D25" s="195" t="s">
        <v>21</v>
      </c>
      <c r="E25" s="196">
        <f t="shared" ref="E25:G26" si="6">E29</f>
        <v>100863.36</v>
      </c>
      <c r="F25" s="197">
        <f t="shared" si="6"/>
        <v>100863.36</v>
      </c>
      <c r="G25" s="198">
        <f t="shared" si="6"/>
        <v>0</v>
      </c>
      <c r="H25" s="158"/>
      <c r="I25" s="1409" t="s">
        <v>422</v>
      </c>
      <c r="J25" s="199" t="s">
        <v>21</v>
      </c>
      <c r="K25" s="196">
        <f t="shared" ref="K25:N26" si="7">K29</f>
        <v>100863.36</v>
      </c>
      <c r="L25" s="196">
        <f t="shared" si="7"/>
        <v>100863.36</v>
      </c>
      <c r="M25" s="196">
        <f t="shared" si="7"/>
        <v>0</v>
      </c>
      <c r="N25" s="196">
        <f t="shared" si="7"/>
        <v>0</v>
      </c>
    </row>
    <row r="26" spans="1:14" s="200" customFormat="1" ht="13.5">
      <c r="A26" s="1407"/>
      <c r="B26" s="1408"/>
      <c r="C26" s="1408"/>
      <c r="D26" s="195" t="s">
        <v>22</v>
      </c>
      <c r="E26" s="196">
        <f t="shared" si="6"/>
        <v>11107.71</v>
      </c>
      <c r="F26" s="197">
        <f t="shared" si="6"/>
        <v>11107.71</v>
      </c>
      <c r="G26" s="198">
        <f t="shared" si="6"/>
        <v>0</v>
      </c>
      <c r="H26" s="158"/>
      <c r="I26" s="1409"/>
      <c r="J26" s="199" t="s">
        <v>22</v>
      </c>
      <c r="K26" s="196">
        <f t="shared" si="7"/>
        <v>11107.71</v>
      </c>
      <c r="L26" s="196">
        <f t="shared" si="7"/>
        <v>11107.71</v>
      </c>
      <c r="M26" s="196">
        <f t="shared" si="7"/>
        <v>0</v>
      </c>
      <c r="N26" s="196">
        <f t="shared" si="7"/>
        <v>0</v>
      </c>
    </row>
    <row r="27" spans="1:14" s="200" customFormat="1" ht="13.5">
      <c r="A27" s="1407"/>
      <c r="B27" s="1408"/>
      <c r="C27" s="1408"/>
      <c r="D27" s="195" t="s">
        <v>23</v>
      </c>
      <c r="E27" s="196">
        <f>E25+E26</f>
        <v>111971.07</v>
      </c>
      <c r="F27" s="196">
        <f>F25+F26</f>
        <v>111971.07</v>
      </c>
      <c r="G27" s="201">
        <f>G25+G26</f>
        <v>0</v>
      </c>
      <c r="H27" s="158"/>
      <c r="I27" s="1409"/>
      <c r="J27" s="199" t="s">
        <v>23</v>
      </c>
      <c r="K27" s="196">
        <f>K25+K26</f>
        <v>111971.07</v>
      </c>
      <c r="L27" s="196">
        <f>L25+L26</f>
        <v>111971.07</v>
      </c>
      <c r="M27" s="196">
        <f>M25+M26</f>
        <v>0</v>
      </c>
      <c r="N27" s="196">
        <f>N25+N26</f>
        <v>0</v>
      </c>
    </row>
    <row r="28" spans="1:14" s="210" customFormat="1" ht="4.5" customHeight="1">
      <c r="A28" s="202"/>
      <c r="B28" s="203"/>
      <c r="C28" s="203"/>
      <c r="D28" s="204"/>
      <c r="E28" s="205"/>
      <c r="F28" s="206"/>
      <c r="G28" s="207"/>
      <c r="H28" s="158"/>
      <c r="I28" s="208"/>
      <c r="J28" s="209"/>
      <c r="K28" s="205"/>
      <c r="L28" s="206"/>
      <c r="M28" s="206"/>
      <c r="N28" s="206"/>
    </row>
    <row r="29" spans="1:14" ht="13.15" customHeight="1">
      <c r="A29" s="1397"/>
      <c r="B29" s="1397"/>
      <c r="C29" s="1398" t="s">
        <v>423</v>
      </c>
      <c r="D29" s="212" t="s">
        <v>21</v>
      </c>
      <c r="E29" s="213">
        <f>F29+G29</f>
        <v>100863.36</v>
      </c>
      <c r="F29" s="191">
        <v>100863.36</v>
      </c>
      <c r="G29" s="191">
        <v>0</v>
      </c>
      <c r="H29" s="158"/>
      <c r="I29" s="1396" t="s">
        <v>8</v>
      </c>
      <c r="J29" s="214" t="s">
        <v>21</v>
      </c>
      <c r="K29" s="213">
        <f>L29+M29+N29</f>
        <v>100863.36</v>
      </c>
      <c r="L29" s="191">
        <v>100863.36</v>
      </c>
      <c r="M29" s="191">
        <v>0</v>
      </c>
      <c r="N29" s="191">
        <v>0</v>
      </c>
    </row>
    <row r="30" spans="1:14">
      <c r="A30" s="1397"/>
      <c r="B30" s="1397"/>
      <c r="C30" s="1398"/>
      <c r="D30" s="212" t="s">
        <v>22</v>
      </c>
      <c r="E30" s="213">
        <f>F30+G30</f>
        <v>11107.71</v>
      </c>
      <c r="F30" s="215">
        <v>11107.71</v>
      </c>
      <c r="G30" s="215"/>
      <c r="H30" s="158"/>
      <c r="I30" s="1396"/>
      <c r="J30" s="214" t="s">
        <v>22</v>
      </c>
      <c r="K30" s="213">
        <f>L30+M30+N30</f>
        <v>11107.71</v>
      </c>
      <c r="L30" s="215">
        <v>11107.71</v>
      </c>
      <c r="M30" s="215"/>
      <c r="N30" s="215"/>
    </row>
    <row r="31" spans="1:14">
      <c r="A31" s="1397"/>
      <c r="B31" s="1397"/>
      <c r="C31" s="1398"/>
      <c r="D31" s="149" t="s">
        <v>23</v>
      </c>
      <c r="E31" s="216">
        <f>E29+E30</f>
        <v>111971.07</v>
      </c>
      <c r="F31" s="216">
        <f>F29+F30</f>
        <v>111971.07</v>
      </c>
      <c r="G31" s="216">
        <f>G29+G30</f>
        <v>0</v>
      </c>
      <c r="H31" s="158"/>
      <c r="I31" s="1396"/>
      <c r="J31" s="194" t="s">
        <v>23</v>
      </c>
      <c r="K31" s="216">
        <f>K29+K30</f>
        <v>111971.07</v>
      </c>
      <c r="L31" s="216">
        <f>L29+L30</f>
        <v>111971.07</v>
      </c>
      <c r="M31" s="216">
        <f>M29+M30</f>
        <v>0</v>
      </c>
      <c r="N31" s="216">
        <f>N29+N30</f>
        <v>0</v>
      </c>
    </row>
    <row r="32" spans="1:14" ht="4.5" customHeight="1">
      <c r="A32" s="217"/>
      <c r="B32" s="218"/>
      <c r="C32" s="219"/>
      <c r="D32" s="220"/>
      <c r="E32" s="221"/>
      <c r="F32" s="222"/>
      <c r="G32" s="223"/>
      <c r="H32" s="158"/>
      <c r="I32" s="224"/>
      <c r="J32" s="225"/>
      <c r="K32" s="226"/>
      <c r="L32" s="222"/>
      <c r="M32" s="222"/>
      <c r="N32" s="222"/>
    </row>
    <row r="33" spans="1:14" s="167" customFormat="1" ht="13.9" hidden="1" customHeight="1">
      <c r="A33" s="1411"/>
      <c r="B33" s="1412" t="s">
        <v>38</v>
      </c>
      <c r="C33" s="1413" t="s">
        <v>39</v>
      </c>
      <c r="D33" s="164" t="s">
        <v>21</v>
      </c>
      <c r="E33" s="37">
        <f t="shared" ref="E33:G34" si="8">E37</f>
        <v>64000</v>
      </c>
      <c r="F33" s="37">
        <f t="shared" si="8"/>
        <v>64000</v>
      </c>
      <c r="G33" s="37">
        <f t="shared" si="8"/>
        <v>0</v>
      </c>
      <c r="H33" s="155"/>
      <c r="I33" s="1414" t="s">
        <v>39</v>
      </c>
      <c r="J33" s="166" t="s">
        <v>21</v>
      </c>
      <c r="K33" s="37">
        <f t="shared" ref="K33:N34" si="9">K37</f>
        <v>64000</v>
      </c>
      <c r="L33" s="37">
        <f t="shared" si="9"/>
        <v>64000</v>
      </c>
      <c r="M33" s="37">
        <f t="shared" si="9"/>
        <v>0</v>
      </c>
      <c r="N33" s="37">
        <f t="shared" si="9"/>
        <v>0</v>
      </c>
    </row>
    <row r="34" spans="1:14" s="167" customFormat="1" ht="14.25" hidden="1">
      <c r="A34" s="1411"/>
      <c r="B34" s="1412"/>
      <c r="C34" s="1413"/>
      <c r="D34" s="168" t="s">
        <v>22</v>
      </c>
      <c r="E34" s="37">
        <f t="shared" si="8"/>
        <v>0</v>
      </c>
      <c r="F34" s="37">
        <f t="shared" si="8"/>
        <v>0</v>
      </c>
      <c r="G34" s="37">
        <f t="shared" si="8"/>
        <v>0</v>
      </c>
      <c r="H34" s="158"/>
      <c r="I34" s="1414"/>
      <c r="J34" s="169" t="s">
        <v>22</v>
      </c>
      <c r="K34" s="37">
        <f t="shared" si="9"/>
        <v>0</v>
      </c>
      <c r="L34" s="37">
        <f t="shared" si="9"/>
        <v>0</v>
      </c>
      <c r="M34" s="37">
        <f t="shared" si="9"/>
        <v>0</v>
      </c>
      <c r="N34" s="37">
        <f t="shared" si="9"/>
        <v>0</v>
      </c>
    </row>
    <row r="35" spans="1:14" s="167" customFormat="1" ht="14.25" hidden="1">
      <c r="A35" s="1411"/>
      <c r="B35" s="1412"/>
      <c r="C35" s="1413"/>
      <c r="D35" s="168" t="s">
        <v>23</v>
      </c>
      <c r="E35" s="170">
        <f>E33+E34</f>
        <v>64000</v>
      </c>
      <c r="F35" s="170">
        <f>F33+F34</f>
        <v>64000</v>
      </c>
      <c r="G35" s="171">
        <f>G33+G34</f>
        <v>0</v>
      </c>
      <c r="H35" s="160"/>
      <c r="I35" s="1414"/>
      <c r="J35" s="169" t="s">
        <v>23</v>
      </c>
      <c r="K35" s="37">
        <f>K33+K34</f>
        <v>64000</v>
      </c>
      <c r="L35" s="37">
        <f>L33+L34</f>
        <v>64000</v>
      </c>
      <c r="M35" s="37">
        <f>M33+M34</f>
        <v>0</v>
      </c>
      <c r="N35" s="37">
        <f>N33+N34</f>
        <v>0</v>
      </c>
    </row>
    <row r="36" spans="1:14" ht="9" hidden="1" customHeight="1">
      <c r="A36" s="146"/>
      <c r="B36" s="189"/>
      <c r="C36" s="148"/>
      <c r="D36" s="149"/>
      <c r="E36" s="190"/>
      <c r="F36" s="191"/>
      <c r="G36" s="192"/>
      <c r="H36" s="158"/>
      <c r="I36" s="193"/>
      <c r="J36" s="194"/>
      <c r="K36" s="190"/>
      <c r="L36" s="191"/>
      <c r="M36" s="191"/>
      <c r="N36" s="191"/>
    </row>
    <row r="37" spans="1:14" s="200" customFormat="1" ht="13.9" hidden="1" customHeight="1">
      <c r="A37" s="1407">
        <v>1</v>
      </c>
      <c r="B37" s="1408" t="s">
        <v>424</v>
      </c>
      <c r="C37" s="1408"/>
      <c r="D37" s="195" t="s">
        <v>21</v>
      </c>
      <c r="E37" s="196">
        <f t="shared" ref="E37:G38" si="10">E41+E49</f>
        <v>64000</v>
      </c>
      <c r="F37" s="196">
        <f t="shared" si="10"/>
        <v>64000</v>
      </c>
      <c r="G37" s="196">
        <f t="shared" si="10"/>
        <v>0</v>
      </c>
      <c r="H37" s="158"/>
      <c r="I37" s="1409" t="s">
        <v>424</v>
      </c>
      <c r="J37" s="199" t="s">
        <v>21</v>
      </c>
      <c r="K37" s="196">
        <f t="shared" ref="K37:N38" si="11">K41+K49</f>
        <v>64000</v>
      </c>
      <c r="L37" s="196">
        <f t="shared" si="11"/>
        <v>64000</v>
      </c>
      <c r="M37" s="196">
        <f t="shared" si="11"/>
        <v>0</v>
      </c>
      <c r="N37" s="196">
        <f t="shared" si="11"/>
        <v>0</v>
      </c>
    </row>
    <row r="38" spans="1:14" s="200" customFormat="1" ht="13.5" hidden="1">
      <c r="A38" s="1407"/>
      <c r="B38" s="1408"/>
      <c r="C38" s="1408"/>
      <c r="D38" s="195" t="s">
        <v>22</v>
      </c>
      <c r="E38" s="196">
        <f t="shared" si="10"/>
        <v>0</v>
      </c>
      <c r="F38" s="196">
        <f t="shared" si="10"/>
        <v>0</v>
      </c>
      <c r="G38" s="196">
        <f t="shared" si="10"/>
        <v>0</v>
      </c>
      <c r="H38" s="158"/>
      <c r="I38" s="1409"/>
      <c r="J38" s="199" t="s">
        <v>22</v>
      </c>
      <c r="K38" s="196">
        <f t="shared" si="11"/>
        <v>0</v>
      </c>
      <c r="L38" s="196">
        <f t="shared" si="11"/>
        <v>0</v>
      </c>
      <c r="M38" s="196">
        <f t="shared" si="11"/>
        <v>0</v>
      </c>
      <c r="N38" s="196">
        <f t="shared" si="11"/>
        <v>0</v>
      </c>
    </row>
    <row r="39" spans="1:14" s="200" customFormat="1" ht="13.5" hidden="1">
      <c r="A39" s="1407"/>
      <c r="B39" s="1408"/>
      <c r="C39" s="1408"/>
      <c r="D39" s="195" t="s">
        <v>23</v>
      </c>
      <c r="E39" s="196">
        <f>E37+E38</f>
        <v>64000</v>
      </c>
      <c r="F39" s="196">
        <f>F37+F38</f>
        <v>64000</v>
      </c>
      <c r="G39" s="201">
        <f>G37+G38</f>
        <v>0</v>
      </c>
      <c r="H39" s="158"/>
      <c r="I39" s="1409"/>
      <c r="J39" s="209" t="s">
        <v>23</v>
      </c>
      <c r="K39" s="196">
        <f>K37+K38</f>
        <v>64000</v>
      </c>
      <c r="L39" s="196">
        <f>L37+L38</f>
        <v>64000</v>
      </c>
      <c r="M39" s="196">
        <f>M37+M38</f>
        <v>0</v>
      </c>
      <c r="N39" s="196">
        <f>N37+N38</f>
        <v>0</v>
      </c>
    </row>
    <row r="40" spans="1:14" ht="9" hidden="1" customHeight="1">
      <c r="A40" s="172"/>
      <c r="B40" s="173"/>
      <c r="C40" s="174"/>
      <c r="D40" s="175"/>
      <c r="E40" s="176"/>
      <c r="F40" s="177"/>
      <c r="G40" s="178"/>
      <c r="H40" s="158"/>
      <c r="I40" s="179"/>
      <c r="J40" s="180"/>
      <c r="K40" s="176"/>
      <c r="L40" s="177"/>
      <c r="M40" s="177"/>
      <c r="N40" s="177"/>
    </row>
    <row r="41" spans="1:14" s="135" customFormat="1" ht="13.15" hidden="1" customHeight="1">
      <c r="A41" s="1403"/>
      <c r="B41" s="1404" t="s">
        <v>40</v>
      </c>
      <c r="C41" s="1405" t="s">
        <v>41</v>
      </c>
      <c r="D41" s="183" t="s">
        <v>21</v>
      </c>
      <c r="E41" s="184">
        <f t="shared" ref="E41:G42" si="12">E45</f>
        <v>0</v>
      </c>
      <c r="F41" s="185">
        <f t="shared" si="12"/>
        <v>0</v>
      </c>
      <c r="G41" s="186">
        <f t="shared" si="12"/>
        <v>0</v>
      </c>
      <c r="H41" s="158"/>
      <c r="I41" s="1405" t="s">
        <v>41</v>
      </c>
      <c r="J41" s="187" t="s">
        <v>21</v>
      </c>
      <c r="K41" s="184">
        <f t="shared" ref="K41:N42" si="13">K45</f>
        <v>0</v>
      </c>
      <c r="L41" s="185">
        <f t="shared" si="13"/>
        <v>0</v>
      </c>
      <c r="M41" s="185">
        <f t="shared" si="13"/>
        <v>0</v>
      </c>
      <c r="N41" s="185">
        <f t="shared" si="13"/>
        <v>0</v>
      </c>
    </row>
    <row r="42" spans="1:14" s="135" customFormat="1" hidden="1">
      <c r="A42" s="1403"/>
      <c r="B42" s="1404"/>
      <c r="C42" s="1405"/>
      <c r="D42" s="183" t="s">
        <v>22</v>
      </c>
      <c r="E42" s="184">
        <f t="shared" si="12"/>
        <v>0</v>
      </c>
      <c r="F42" s="185">
        <f t="shared" si="12"/>
        <v>0</v>
      </c>
      <c r="G42" s="186">
        <f t="shared" si="12"/>
        <v>0</v>
      </c>
      <c r="H42" s="158"/>
      <c r="I42" s="1405"/>
      <c r="J42" s="187" t="s">
        <v>22</v>
      </c>
      <c r="K42" s="184">
        <f t="shared" si="13"/>
        <v>0</v>
      </c>
      <c r="L42" s="185">
        <f t="shared" si="13"/>
        <v>0</v>
      </c>
      <c r="M42" s="185">
        <f t="shared" si="13"/>
        <v>0</v>
      </c>
      <c r="N42" s="185">
        <f t="shared" si="13"/>
        <v>0</v>
      </c>
    </row>
    <row r="43" spans="1:14" s="135" customFormat="1" hidden="1">
      <c r="A43" s="1403"/>
      <c r="B43" s="1404"/>
      <c r="C43" s="1405"/>
      <c r="D43" s="183" t="s">
        <v>23</v>
      </c>
      <c r="E43" s="184">
        <f>E41+E42</f>
        <v>0</v>
      </c>
      <c r="F43" s="184">
        <f>F41+F42</f>
        <v>0</v>
      </c>
      <c r="G43" s="188">
        <f>G41+G42</f>
        <v>0</v>
      </c>
      <c r="H43" s="158"/>
      <c r="I43" s="1405"/>
      <c r="J43" s="187" t="s">
        <v>23</v>
      </c>
      <c r="K43" s="184">
        <f>K41+K42</f>
        <v>0</v>
      </c>
      <c r="L43" s="184">
        <f>L41+L42</f>
        <v>0</v>
      </c>
      <c r="M43" s="184">
        <f>M41+M42</f>
        <v>0</v>
      </c>
      <c r="N43" s="184">
        <f>N41+N42</f>
        <v>0</v>
      </c>
    </row>
    <row r="44" spans="1:14" s="200" customFormat="1" ht="9" hidden="1" customHeight="1">
      <c r="A44" s="227"/>
      <c r="B44" s="228"/>
      <c r="C44" s="229"/>
      <c r="D44" s="195"/>
      <c r="E44" s="196"/>
      <c r="F44" s="196"/>
      <c r="G44" s="201"/>
      <c r="H44" s="158"/>
      <c r="I44" s="230"/>
      <c r="J44" s="199"/>
      <c r="K44" s="196"/>
      <c r="L44" s="196"/>
      <c r="M44" s="196"/>
      <c r="N44" s="196"/>
    </row>
    <row r="45" spans="1:14" ht="13.15" hidden="1" customHeight="1">
      <c r="A45" s="1397"/>
      <c r="B45" s="1397"/>
      <c r="C45" s="1398" t="s">
        <v>423</v>
      </c>
      <c r="D45" s="212" t="s">
        <v>21</v>
      </c>
      <c r="E45" s="213">
        <f>F45+G45</f>
        <v>0</v>
      </c>
      <c r="F45" s="191">
        <v>0</v>
      </c>
      <c r="G45" s="192">
        <v>0</v>
      </c>
      <c r="H45" s="158"/>
      <c r="I45" s="1399" t="s">
        <v>18</v>
      </c>
      <c r="J45" s="214" t="s">
        <v>21</v>
      </c>
      <c r="K45" s="213">
        <f>L45+M45+N45</f>
        <v>0</v>
      </c>
      <c r="L45" s="191">
        <v>0</v>
      </c>
      <c r="M45" s="191">
        <v>0</v>
      </c>
      <c r="N45" s="191">
        <v>0</v>
      </c>
    </row>
    <row r="46" spans="1:14" hidden="1">
      <c r="A46" s="1397"/>
      <c r="B46" s="1397"/>
      <c r="C46" s="1398"/>
      <c r="D46" s="212" t="s">
        <v>22</v>
      </c>
      <c r="E46" s="213">
        <f>F46+G46</f>
        <v>0</v>
      </c>
      <c r="F46" s="215"/>
      <c r="G46" s="232"/>
      <c r="H46" s="158"/>
      <c r="I46" s="1399"/>
      <c r="J46" s="214" t="s">
        <v>22</v>
      </c>
      <c r="K46" s="213">
        <f>L46+M46+N46</f>
        <v>0</v>
      </c>
      <c r="L46" s="215"/>
      <c r="M46" s="215"/>
      <c r="N46" s="215"/>
    </row>
    <row r="47" spans="1:14" hidden="1">
      <c r="A47" s="1397"/>
      <c r="B47" s="1397"/>
      <c r="C47" s="1398"/>
      <c r="D47" s="212" t="s">
        <v>23</v>
      </c>
      <c r="E47" s="213">
        <f>E45+E46</f>
        <v>0</v>
      </c>
      <c r="F47" s="213">
        <f>F45+F46</f>
        <v>0</v>
      </c>
      <c r="G47" s="233">
        <f>G45+G46</f>
        <v>0</v>
      </c>
      <c r="H47" s="158"/>
      <c r="I47" s="1399"/>
      <c r="J47" s="214" t="s">
        <v>23</v>
      </c>
      <c r="K47" s="213">
        <f>K45+K46</f>
        <v>0</v>
      </c>
      <c r="L47" s="213">
        <f>L45+L46</f>
        <v>0</v>
      </c>
      <c r="M47" s="213">
        <f>M45+M46</f>
        <v>0</v>
      </c>
      <c r="N47" s="213">
        <f>N45+N46</f>
        <v>0</v>
      </c>
    </row>
    <row r="48" spans="1:14" s="200" customFormat="1" ht="13.5" hidden="1">
      <c r="A48" s="227"/>
      <c r="B48" s="228"/>
      <c r="C48" s="229"/>
      <c r="D48" s="195"/>
      <c r="E48" s="196"/>
      <c r="F48" s="196"/>
      <c r="G48" s="201"/>
      <c r="H48" s="158"/>
      <c r="I48" s="230"/>
      <c r="J48" s="199"/>
      <c r="K48" s="196"/>
      <c r="L48" s="196"/>
      <c r="M48" s="196"/>
      <c r="N48" s="196"/>
    </row>
    <row r="49" spans="1:14" s="135" customFormat="1" ht="13.15" hidden="1" customHeight="1">
      <c r="A49" s="1403"/>
      <c r="B49" s="1404" t="s">
        <v>44</v>
      </c>
      <c r="C49" s="1405" t="s">
        <v>37</v>
      </c>
      <c r="D49" s="183" t="s">
        <v>21</v>
      </c>
      <c r="E49" s="184">
        <f t="shared" ref="E49:G50" si="14">E53</f>
        <v>64000</v>
      </c>
      <c r="F49" s="185">
        <f t="shared" si="14"/>
        <v>64000</v>
      </c>
      <c r="G49" s="186">
        <f t="shared" si="14"/>
        <v>0</v>
      </c>
      <c r="H49" s="158"/>
      <c r="I49" s="1406" t="s">
        <v>37</v>
      </c>
      <c r="J49" s="187" t="s">
        <v>21</v>
      </c>
      <c r="K49" s="184">
        <f t="shared" ref="K49:N50" si="15">K53</f>
        <v>64000</v>
      </c>
      <c r="L49" s="185">
        <f t="shared" si="15"/>
        <v>64000</v>
      </c>
      <c r="M49" s="185">
        <f t="shared" si="15"/>
        <v>0</v>
      </c>
      <c r="N49" s="185">
        <f t="shared" si="15"/>
        <v>0</v>
      </c>
    </row>
    <row r="50" spans="1:14" s="135" customFormat="1" hidden="1">
      <c r="A50" s="1403"/>
      <c r="B50" s="1404"/>
      <c r="C50" s="1405"/>
      <c r="D50" s="183" t="s">
        <v>22</v>
      </c>
      <c r="E50" s="184">
        <f t="shared" si="14"/>
        <v>0</v>
      </c>
      <c r="F50" s="185">
        <f t="shared" si="14"/>
        <v>0</v>
      </c>
      <c r="G50" s="186">
        <f t="shared" si="14"/>
        <v>0</v>
      </c>
      <c r="H50" s="158"/>
      <c r="I50" s="1406"/>
      <c r="J50" s="187" t="s">
        <v>22</v>
      </c>
      <c r="K50" s="184">
        <f t="shared" si="15"/>
        <v>0</v>
      </c>
      <c r="L50" s="185">
        <f t="shared" si="15"/>
        <v>0</v>
      </c>
      <c r="M50" s="185">
        <f t="shared" si="15"/>
        <v>0</v>
      </c>
      <c r="N50" s="185">
        <f t="shared" si="15"/>
        <v>0</v>
      </c>
    </row>
    <row r="51" spans="1:14" s="135" customFormat="1" hidden="1">
      <c r="A51" s="1403"/>
      <c r="B51" s="1404"/>
      <c r="C51" s="1405"/>
      <c r="D51" s="183" t="s">
        <v>23</v>
      </c>
      <c r="E51" s="184">
        <f>E49+E50</f>
        <v>64000</v>
      </c>
      <c r="F51" s="184">
        <f>F49+F50</f>
        <v>64000</v>
      </c>
      <c r="G51" s="188">
        <f>G49+G50</f>
        <v>0</v>
      </c>
      <c r="H51" s="158"/>
      <c r="I51" s="1406"/>
      <c r="J51" s="187" t="s">
        <v>23</v>
      </c>
      <c r="K51" s="184">
        <f>K49+K50</f>
        <v>64000</v>
      </c>
      <c r="L51" s="184">
        <f>L49+L50</f>
        <v>64000</v>
      </c>
      <c r="M51" s="184">
        <f>M49+M50</f>
        <v>0</v>
      </c>
      <c r="N51" s="184">
        <f>N49+N50</f>
        <v>0</v>
      </c>
    </row>
    <row r="52" spans="1:14" s="210" customFormat="1" ht="13.5" hidden="1">
      <c r="A52" s="202"/>
      <c r="B52" s="203"/>
      <c r="C52" s="203"/>
      <c r="D52" s="204"/>
      <c r="E52" s="205"/>
      <c r="F52" s="206"/>
      <c r="G52" s="207"/>
      <c r="H52" s="158"/>
      <c r="I52" s="208"/>
      <c r="J52" s="209"/>
      <c r="K52" s="205"/>
      <c r="L52" s="206"/>
      <c r="M52" s="206"/>
      <c r="N52" s="206"/>
    </row>
    <row r="53" spans="1:14" ht="13.15" hidden="1" customHeight="1">
      <c r="A53" s="1397"/>
      <c r="B53" s="1397"/>
      <c r="C53" s="1398" t="s">
        <v>423</v>
      </c>
      <c r="D53" s="212" t="s">
        <v>21</v>
      </c>
      <c r="E53" s="213">
        <f>F53+G53</f>
        <v>64000</v>
      </c>
      <c r="F53" s="191">
        <v>64000</v>
      </c>
      <c r="G53" s="192">
        <v>0</v>
      </c>
      <c r="H53" s="158"/>
      <c r="I53" s="1399" t="s">
        <v>18</v>
      </c>
      <c r="J53" s="214" t="s">
        <v>21</v>
      </c>
      <c r="K53" s="213">
        <f>L53+M53+N53</f>
        <v>64000</v>
      </c>
      <c r="L53" s="191">
        <v>64000</v>
      </c>
      <c r="M53" s="191">
        <v>0</v>
      </c>
      <c r="N53" s="191">
        <v>0</v>
      </c>
    </row>
    <row r="54" spans="1:14" hidden="1">
      <c r="A54" s="1397"/>
      <c r="B54" s="1397"/>
      <c r="C54" s="1398"/>
      <c r="D54" s="212" t="s">
        <v>22</v>
      </c>
      <c r="E54" s="213">
        <f>F54+G54</f>
        <v>0</v>
      </c>
      <c r="F54" s="215"/>
      <c r="G54" s="232"/>
      <c r="H54" s="158"/>
      <c r="I54" s="1399"/>
      <c r="J54" s="214" t="s">
        <v>22</v>
      </c>
      <c r="K54" s="213">
        <f>L54+M54+N54</f>
        <v>0</v>
      </c>
      <c r="L54" s="215"/>
      <c r="M54" s="215"/>
      <c r="N54" s="215"/>
    </row>
    <row r="55" spans="1:14" hidden="1">
      <c r="A55" s="1397"/>
      <c r="B55" s="1397"/>
      <c r="C55" s="1398"/>
      <c r="D55" s="212" t="s">
        <v>23</v>
      </c>
      <c r="E55" s="213">
        <f>E53+E54</f>
        <v>64000</v>
      </c>
      <c r="F55" s="213">
        <f>F53+F54</f>
        <v>64000</v>
      </c>
      <c r="G55" s="233">
        <f>G53+G54</f>
        <v>0</v>
      </c>
      <c r="H55" s="158"/>
      <c r="I55" s="1399"/>
      <c r="J55" s="214" t="s">
        <v>23</v>
      </c>
      <c r="K55" s="213">
        <f>K53+K54</f>
        <v>64000</v>
      </c>
      <c r="L55" s="213">
        <f>L53+L54</f>
        <v>64000</v>
      </c>
      <c r="M55" s="213">
        <f>M53+M54</f>
        <v>0</v>
      </c>
      <c r="N55" s="213">
        <f>N53+N54</f>
        <v>0</v>
      </c>
    </row>
    <row r="56" spans="1:14" ht="9" hidden="1" customHeight="1">
      <c r="A56" s="234"/>
      <c r="B56" s="234"/>
      <c r="C56" s="235"/>
      <c r="D56" s="212"/>
      <c r="E56" s="213"/>
      <c r="F56" s="236"/>
      <c r="G56" s="237"/>
      <c r="H56" s="158"/>
      <c r="I56" s="238"/>
      <c r="J56" s="214"/>
      <c r="K56" s="213"/>
      <c r="L56" s="215"/>
      <c r="M56" s="215"/>
      <c r="N56" s="215"/>
    </row>
    <row r="57" spans="1:14" s="167" customFormat="1" ht="13.9" hidden="1" customHeight="1">
      <c r="A57" s="1411"/>
      <c r="B57" s="1412" t="s">
        <v>56</v>
      </c>
      <c r="C57" s="1413" t="s">
        <v>57</v>
      </c>
      <c r="D57" s="164" t="s">
        <v>21</v>
      </c>
      <c r="E57" s="37">
        <f t="shared" ref="E57:G58" si="16">E61+E73</f>
        <v>30557000</v>
      </c>
      <c r="F57" s="31">
        <f t="shared" si="16"/>
        <v>30557000</v>
      </c>
      <c r="G57" s="165">
        <f t="shared" si="16"/>
        <v>0</v>
      </c>
      <c r="H57" s="155"/>
      <c r="I57" s="1414" t="s">
        <v>57</v>
      </c>
      <c r="J57" s="166" t="s">
        <v>21</v>
      </c>
      <c r="K57" s="37">
        <f t="shared" ref="K57:N58" si="17">K61+K73</f>
        <v>30557000</v>
      </c>
      <c r="L57" s="31">
        <f t="shared" si="17"/>
        <v>30557000</v>
      </c>
      <c r="M57" s="31">
        <f t="shared" si="17"/>
        <v>0</v>
      </c>
      <c r="N57" s="31">
        <f t="shared" si="17"/>
        <v>0</v>
      </c>
    </row>
    <row r="58" spans="1:14" s="167" customFormat="1" ht="14.25" hidden="1">
      <c r="A58" s="1411"/>
      <c r="B58" s="1412"/>
      <c r="C58" s="1413"/>
      <c r="D58" s="168" t="s">
        <v>22</v>
      </c>
      <c r="E58" s="37">
        <f t="shared" si="16"/>
        <v>0</v>
      </c>
      <c r="F58" s="31">
        <f t="shared" si="16"/>
        <v>0</v>
      </c>
      <c r="G58" s="165">
        <f t="shared" si="16"/>
        <v>0</v>
      </c>
      <c r="H58" s="158"/>
      <c r="I58" s="1414"/>
      <c r="J58" s="169" t="s">
        <v>22</v>
      </c>
      <c r="K58" s="37">
        <f t="shared" si="17"/>
        <v>0</v>
      </c>
      <c r="L58" s="31">
        <f t="shared" si="17"/>
        <v>0</v>
      </c>
      <c r="M58" s="31">
        <f t="shared" si="17"/>
        <v>0</v>
      </c>
      <c r="N58" s="31">
        <f t="shared" si="17"/>
        <v>0</v>
      </c>
    </row>
    <row r="59" spans="1:14" s="167" customFormat="1" ht="14.25" hidden="1">
      <c r="A59" s="1411"/>
      <c r="B59" s="1412"/>
      <c r="C59" s="1413"/>
      <c r="D59" s="168" t="s">
        <v>23</v>
      </c>
      <c r="E59" s="170">
        <f>E57+E58</f>
        <v>30557000</v>
      </c>
      <c r="F59" s="170">
        <f>F57+F58</f>
        <v>30557000</v>
      </c>
      <c r="G59" s="171">
        <f>G57+G58</f>
        <v>0</v>
      </c>
      <c r="H59" s="160"/>
      <c r="I59" s="1414"/>
      <c r="J59" s="169" t="s">
        <v>23</v>
      </c>
      <c r="K59" s="170">
        <f>K57+K58</f>
        <v>30557000</v>
      </c>
      <c r="L59" s="170">
        <f>L57+L58</f>
        <v>30557000</v>
      </c>
      <c r="M59" s="170">
        <f>M57+M58</f>
        <v>0</v>
      </c>
      <c r="N59" s="170">
        <f>N57+N58</f>
        <v>0</v>
      </c>
    </row>
    <row r="60" spans="1:14" ht="4.5" hidden="1" customHeight="1">
      <c r="A60" s="172"/>
      <c r="B60" s="173"/>
      <c r="C60" s="174"/>
      <c r="D60" s="175"/>
      <c r="E60" s="176"/>
      <c r="F60" s="239"/>
      <c r="G60" s="240"/>
      <c r="H60" s="158"/>
      <c r="I60" s="179"/>
      <c r="J60" s="180"/>
      <c r="K60" s="176"/>
      <c r="L60" s="177"/>
      <c r="M60" s="177"/>
      <c r="N60" s="177"/>
    </row>
    <row r="61" spans="1:14" s="135" customFormat="1" ht="13.15" hidden="1" customHeight="1">
      <c r="A61" s="1403"/>
      <c r="B61" s="1404" t="s">
        <v>62</v>
      </c>
      <c r="C61" s="1405" t="s">
        <v>63</v>
      </c>
      <c r="D61" s="183" t="s">
        <v>21</v>
      </c>
      <c r="E61" s="184">
        <f t="shared" ref="E61:G62" si="18">E65</f>
        <v>30300000</v>
      </c>
      <c r="F61" s="185">
        <f t="shared" si="18"/>
        <v>30300000</v>
      </c>
      <c r="G61" s="186">
        <f t="shared" si="18"/>
        <v>0</v>
      </c>
      <c r="H61" s="158"/>
      <c r="I61" s="1406" t="s">
        <v>63</v>
      </c>
      <c r="J61" s="187" t="s">
        <v>21</v>
      </c>
      <c r="K61" s="184">
        <f t="shared" ref="K61:N62" si="19">K65</f>
        <v>30300000</v>
      </c>
      <c r="L61" s="185">
        <f t="shared" si="19"/>
        <v>30300000</v>
      </c>
      <c r="M61" s="185">
        <f t="shared" si="19"/>
        <v>0</v>
      </c>
      <c r="N61" s="185">
        <f t="shared" si="19"/>
        <v>0</v>
      </c>
    </row>
    <row r="62" spans="1:14" s="135" customFormat="1" hidden="1">
      <c r="A62" s="1403"/>
      <c r="B62" s="1404"/>
      <c r="C62" s="1405"/>
      <c r="D62" s="183" t="s">
        <v>22</v>
      </c>
      <c r="E62" s="184">
        <f t="shared" si="18"/>
        <v>0</v>
      </c>
      <c r="F62" s="185">
        <f t="shared" si="18"/>
        <v>0</v>
      </c>
      <c r="G62" s="186">
        <f t="shared" si="18"/>
        <v>0</v>
      </c>
      <c r="H62" s="158"/>
      <c r="I62" s="1406"/>
      <c r="J62" s="187" t="s">
        <v>22</v>
      </c>
      <c r="K62" s="184">
        <f t="shared" si="19"/>
        <v>0</v>
      </c>
      <c r="L62" s="185">
        <f t="shared" si="19"/>
        <v>0</v>
      </c>
      <c r="M62" s="185">
        <f t="shared" si="19"/>
        <v>0</v>
      </c>
      <c r="N62" s="185">
        <f t="shared" si="19"/>
        <v>0</v>
      </c>
    </row>
    <row r="63" spans="1:14" s="135" customFormat="1" hidden="1">
      <c r="A63" s="1403"/>
      <c r="B63" s="1404"/>
      <c r="C63" s="1405"/>
      <c r="D63" s="183" t="s">
        <v>23</v>
      </c>
      <c r="E63" s="184">
        <f>E61+E62</f>
        <v>30300000</v>
      </c>
      <c r="F63" s="184">
        <f>F61+F62</f>
        <v>30300000</v>
      </c>
      <c r="G63" s="188">
        <f>G61+G62</f>
        <v>0</v>
      </c>
      <c r="H63" s="158"/>
      <c r="I63" s="1406"/>
      <c r="J63" s="187" t="s">
        <v>23</v>
      </c>
      <c r="K63" s="184">
        <f>K61+K62</f>
        <v>30300000</v>
      </c>
      <c r="L63" s="184">
        <f>L61+L62</f>
        <v>30300000</v>
      </c>
      <c r="M63" s="184">
        <f>M61+M62</f>
        <v>0</v>
      </c>
      <c r="N63" s="184">
        <f>N61+N62</f>
        <v>0</v>
      </c>
    </row>
    <row r="64" spans="1:14" ht="4.5" hidden="1" customHeight="1">
      <c r="A64" s="146"/>
      <c r="B64" s="189"/>
      <c r="C64" s="148"/>
      <c r="D64" s="149"/>
      <c r="E64" s="190"/>
      <c r="F64" s="241"/>
      <c r="G64" s="242"/>
      <c r="H64" s="158"/>
      <c r="I64" s="193"/>
      <c r="J64" s="194"/>
      <c r="K64" s="190"/>
      <c r="L64" s="191"/>
      <c r="M64" s="191"/>
      <c r="N64" s="191"/>
    </row>
    <row r="65" spans="1:14" s="200" customFormat="1" ht="13.9" hidden="1" customHeight="1">
      <c r="A65" s="1407">
        <v>2</v>
      </c>
      <c r="B65" s="1408" t="s">
        <v>425</v>
      </c>
      <c r="C65" s="1408"/>
      <c r="D65" s="195" t="s">
        <v>21</v>
      </c>
      <c r="E65" s="196">
        <f t="shared" ref="E65:G66" si="20">E69</f>
        <v>30300000</v>
      </c>
      <c r="F65" s="197">
        <f t="shared" si="20"/>
        <v>30300000</v>
      </c>
      <c r="G65" s="198">
        <f t="shared" si="20"/>
        <v>0</v>
      </c>
      <c r="H65" s="158"/>
      <c r="I65" s="1409" t="s">
        <v>425</v>
      </c>
      <c r="J65" s="199" t="s">
        <v>21</v>
      </c>
      <c r="K65" s="196">
        <f t="shared" ref="K65:N66" si="21">K69</f>
        <v>30300000</v>
      </c>
      <c r="L65" s="197">
        <f t="shared" si="21"/>
        <v>30300000</v>
      </c>
      <c r="M65" s="197">
        <f t="shared" si="21"/>
        <v>0</v>
      </c>
      <c r="N65" s="197">
        <f t="shared" si="21"/>
        <v>0</v>
      </c>
    </row>
    <row r="66" spans="1:14" s="200" customFormat="1" ht="13.5" hidden="1">
      <c r="A66" s="1407"/>
      <c r="B66" s="1408"/>
      <c r="C66" s="1408"/>
      <c r="D66" s="195" t="s">
        <v>22</v>
      </c>
      <c r="E66" s="196">
        <f t="shared" si="20"/>
        <v>0</v>
      </c>
      <c r="F66" s="197">
        <f t="shared" si="20"/>
        <v>0</v>
      </c>
      <c r="G66" s="198">
        <f t="shared" si="20"/>
        <v>0</v>
      </c>
      <c r="H66" s="158"/>
      <c r="I66" s="1409"/>
      <c r="J66" s="199" t="s">
        <v>22</v>
      </c>
      <c r="K66" s="196">
        <f t="shared" si="21"/>
        <v>0</v>
      </c>
      <c r="L66" s="197">
        <f t="shared" si="21"/>
        <v>0</v>
      </c>
      <c r="M66" s="197">
        <f t="shared" si="21"/>
        <v>0</v>
      </c>
      <c r="N66" s="197">
        <f t="shared" si="21"/>
        <v>0</v>
      </c>
    </row>
    <row r="67" spans="1:14" s="200" customFormat="1" ht="13.5" hidden="1">
      <c r="A67" s="1407"/>
      <c r="B67" s="1408"/>
      <c r="C67" s="1408"/>
      <c r="D67" s="195" t="s">
        <v>23</v>
      </c>
      <c r="E67" s="196">
        <f>E65+E66</f>
        <v>30300000</v>
      </c>
      <c r="F67" s="196">
        <f>F65+F66</f>
        <v>30300000</v>
      </c>
      <c r="G67" s="201">
        <f>G65+G66</f>
        <v>0</v>
      </c>
      <c r="H67" s="158"/>
      <c r="I67" s="1409"/>
      <c r="J67" s="199" t="s">
        <v>23</v>
      </c>
      <c r="K67" s="196">
        <f>K65+K66</f>
        <v>30300000</v>
      </c>
      <c r="L67" s="196">
        <f>L65+L66</f>
        <v>30300000</v>
      </c>
      <c r="M67" s="196">
        <f>M65+M66</f>
        <v>0</v>
      </c>
      <c r="N67" s="196">
        <f>N65+N66</f>
        <v>0</v>
      </c>
    </row>
    <row r="68" spans="1:14" s="135" customFormat="1" ht="4.5" hidden="1" customHeight="1">
      <c r="A68" s="181"/>
      <c r="B68" s="182"/>
      <c r="C68" s="243"/>
      <c r="D68" s="244"/>
      <c r="E68" s="245"/>
      <c r="F68" s="185"/>
      <c r="G68" s="186"/>
      <c r="H68" s="158"/>
      <c r="I68" s="246"/>
      <c r="J68" s="247"/>
      <c r="K68" s="245"/>
      <c r="L68" s="248"/>
      <c r="M68" s="248"/>
      <c r="N68" s="248"/>
    </row>
    <row r="69" spans="1:14" ht="13.15" hidden="1" customHeight="1">
      <c r="A69" s="1397"/>
      <c r="B69" s="1397"/>
      <c r="C69" s="1398" t="s">
        <v>423</v>
      </c>
      <c r="D69" s="212" t="s">
        <v>21</v>
      </c>
      <c r="E69" s="213">
        <f>F69+G69</f>
        <v>30300000</v>
      </c>
      <c r="F69" s="191">
        <v>30300000</v>
      </c>
      <c r="G69" s="192">
        <v>0</v>
      </c>
      <c r="H69" s="158"/>
      <c r="I69" s="1399" t="s">
        <v>426</v>
      </c>
      <c r="J69" s="214" t="s">
        <v>21</v>
      </c>
      <c r="K69" s="213">
        <f>L69+M69+N69</f>
        <v>30300000</v>
      </c>
      <c r="L69" s="191">
        <v>30300000</v>
      </c>
      <c r="M69" s="191">
        <v>0</v>
      </c>
      <c r="N69" s="191">
        <v>0</v>
      </c>
    </row>
    <row r="70" spans="1:14" hidden="1">
      <c r="A70" s="1397"/>
      <c r="B70" s="1397"/>
      <c r="C70" s="1398"/>
      <c r="D70" s="212" t="s">
        <v>22</v>
      </c>
      <c r="E70" s="213">
        <f>F70+G70</f>
        <v>0</v>
      </c>
      <c r="F70" s="191"/>
      <c r="G70" s="192"/>
      <c r="H70" s="158"/>
      <c r="I70" s="1399"/>
      <c r="J70" s="214" t="s">
        <v>22</v>
      </c>
      <c r="K70" s="213">
        <f>L70+M70+N70</f>
        <v>0</v>
      </c>
      <c r="L70" s="191"/>
      <c r="M70" s="191"/>
      <c r="N70" s="191"/>
    </row>
    <row r="71" spans="1:14" hidden="1">
      <c r="A71" s="1397"/>
      <c r="B71" s="1397"/>
      <c r="C71" s="1398"/>
      <c r="D71" s="212" t="s">
        <v>23</v>
      </c>
      <c r="E71" s="213">
        <f>E69+E70</f>
        <v>30300000</v>
      </c>
      <c r="F71" s="213">
        <f>F69+F70</f>
        <v>30300000</v>
      </c>
      <c r="G71" s="233">
        <f>G69+G70</f>
        <v>0</v>
      </c>
      <c r="H71" s="158"/>
      <c r="I71" s="1399"/>
      <c r="J71" s="214" t="s">
        <v>23</v>
      </c>
      <c r="K71" s="213">
        <f>K69+K70</f>
        <v>30300000</v>
      </c>
      <c r="L71" s="213">
        <f>L69+L70</f>
        <v>30300000</v>
      </c>
      <c r="M71" s="213">
        <f>M69+M70</f>
        <v>0</v>
      </c>
      <c r="N71" s="213">
        <f>N69+N70</f>
        <v>0</v>
      </c>
    </row>
    <row r="72" spans="1:14" ht="9" hidden="1" customHeight="1">
      <c r="A72" s="146"/>
      <c r="B72" s="189"/>
      <c r="C72" s="148"/>
      <c r="D72" s="149"/>
      <c r="E72" s="216"/>
      <c r="F72" s="241"/>
      <c r="G72" s="242"/>
      <c r="H72" s="158"/>
      <c r="I72" s="193"/>
      <c r="J72" s="194"/>
      <c r="K72" s="216"/>
      <c r="L72" s="191"/>
      <c r="M72" s="191"/>
      <c r="N72" s="191"/>
    </row>
    <row r="73" spans="1:14" s="135" customFormat="1" ht="13.15" hidden="1" customHeight="1">
      <c r="A73" s="1403"/>
      <c r="B73" s="1404" t="s">
        <v>72</v>
      </c>
      <c r="C73" s="1405" t="s">
        <v>37</v>
      </c>
      <c r="D73" s="183" t="s">
        <v>21</v>
      </c>
      <c r="E73" s="185">
        <f t="shared" ref="E73:G74" si="22">E77</f>
        <v>257000</v>
      </c>
      <c r="F73" s="185">
        <f t="shared" si="22"/>
        <v>257000</v>
      </c>
      <c r="G73" s="186">
        <f t="shared" si="22"/>
        <v>0</v>
      </c>
      <c r="H73" s="158"/>
      <c r="I73" s="1406" t="s">
        <v>37</v>
      </c>
      <c r="J73" s="187" t="s">
        <v>21</v>
      </c>
      <c r="K73" s="185">
        <f t="shared" ref="K73:N74" si="23">K77</f>
        <v>257000</v>
      </c>
      <c r="L73" s="185">
        <f t="shared" si="23"/>
        <v>257000</v>
      </c>
      <c r="M73" s="185">
        <f t="shared" si="23"/>
        <v>0</v>
      </c>
      <c r="N73" s="185">
        <f t="shared" si="23"/>
        <v>0</v>
      </c>
    </row>
    <row r="74" spans="1:14" s="135" customFormat="1" hidden="1">
      <c r="A74" s="1403"/>
      <c r="B74" s="1404"/>
      <c r="C74" s="1405"/>
      <c r="D74" s="183" t="s">
        <v>22</v>
      </c>
      <c r="E74" s="185">
        <f t="shared" si="22"/>
        <v>0</v>
      </c>
      <c r="F74" s="185">
        <f t="shared" si="22"/>
        <v>0</v>
      </c>
      <c r="G74" s="186">
        <f t="shared" si="22"/>
        <v>0</v>
      </c>
      <c r="H74" s="158"/>
      <c r="I74" s="1406"/>
      <c r="J74" s="187" t="s">
        <v>22</v>
      </c>
      <c r="K74" s="185">
        <f t="shared" si="23"/>
        <v>0</v>
      </c>
      <c r="L74" s="185">
        <f t="shared" si="23"/>
        <v>0</v>
      </c>
      <c r="M74" s="185">
        <f t="shared" si="23"/>
        <v>0</v>
      </c>
      <c r="N74" s="185">
        <f t="shared" si="23"/>
        <v>0</v>
      </c>
    </row>
    <row r="75" spans="1:14" s="135" customFormat="1" hidden="1">
      <c r="A75" s="1403"/>
      <c r="B75" s="1404"/>
      <c r="C75" s="1405"/>
      <c r="D75" s="183" t="s">
        <v>23</v>
      </c>
      <c r="E75" s="185">
        <f>E73+E74</f>
        <v>257000</v>
      </c>
      <c r="F75" s="185">
        <f>F73+F74</f>
        <v>257000</v>
      </c>
      <c r="G75" s="186">
        <f>G73+G74</f>
        <v>0</v>
      </c>
      <c r="H75" s="158"/>
      <c r="I75" s="1406"/>
      <c r="J75" s="187" t="s">
        <v>23</v>
      </c>
      <c r="K75" s="185">
        <f>K73+K74</f>
        <v>257000</v>
      </c>
      <c r="L75" s="185">
        <f>L73+L74</f>
        <v>257000</v>
      </c>
      <c r="M75" s="185">
        <f>M73+M74</f>
        <v>0</v>
      </c>
      <c r="N75" s="185">
        <f>N73+N74</f>
        <v>0</v>
      </c>
    </row>
    <row r="76" spans="1:14" ht="9" hidden="1" customHeight="1">
      <c r="A76" s="146"/>
      <c r="B76" s="249"/>
      <c r="C76" s="249"/>
      <c r="D76" s="204"/>
      <c r="E76" s="241"/>
      <c r="F76" s="241"/>
      <c r="G76" s="242"/>
      <c r="H76" s="158"/>
      <c r="I76" s="193"/>
      <c r="J76" s="194"/>
      <c r="K76" s="191"/>
      <c r="L76" s="191"/>
      <c r="M76" s="191"/>
      <c r="N76" s="191"/>
    </row>
    <row r="77" spans="1:14" s="200" customFormat="1" ht="13.9" hidden="1" customHeight="1">
      <c r="A77" s="1407">
        <v>3</v>
      </c>
      <c r="B77" s="1408" t="s">
        <v>427</v>
      </c>
      <c r="C77" s="1408"/>
      <c r="D77" s="195" t="s">
        <v>21</v>
      </c>
      <c r="E77" s="197">
        <f t="shared" ref="E77:G78" si="24">E81</f>
        <v>257000</v>
      </c>
      <c r="F77" s="197">
        <f t="shared" si="24"/>
        <v>257000</v>
      </c>
      <c r="G77" s="198">
        <f t="shared" si="24"/>
        <v>0</v>
      </c>
      <c r="H77" s="158"/>
      <c r="I77" s="1409" t="s">
        <v>427</v>
      </c>
      <c r="J77" s="199" t="s">
        <v>21</v>
      </c>
      <c r="K77" s="197">
        <f t="shared" ref="K77:N78" si="25">K81+K85</f>
        <v>257000</v>
      </c>
      <c r="L77" s="197">
        <f t="shared" si="25"/>
        <v>257000</v>
      </c>
      <c r="M77" s="197">
        <f t="shared" si="25"/>
        <v>0</v>
      </c>
      <c r="N77" s="197">
        <f t="shared" si="25"/>
        <v>0</v>
      </c>
    </row>
    <row r="78" spans="1:14" s="200" customFormat="1" ht="13.5" hidden="1">
      <c r="A78" s="1407"/>
      <c r="B78" s="1408"/>
      <c r="C78" s="1408"/>
      <c r="D78" s="195" t="s">
        <v>22</v>
      </c>
      <c r="E78" s="197">
        <f t="shared" si="24"/>
        <v>0</v>
      </c>
      <c r="F78" s="197">
        <f t="shared" si="24"/>
        <v>0</v>
      </c>
      <c r="G78" s="198">
        <f t="shared" si="24"/>
        <v>0</v>
      </c>
      <c r="H78" s="158"/>
      <c r="I78" s="1409"/>
      <c r="J78" s="199" t="s">
        <v>22</v>
      </c>
      <c r="K78" s="197">
        <f t="shared" si="25"/>
        <v>0</v>
      </c>
      <c r="L78" s="197">
        <f t="shared" si="25"/>
        <v>0</v>
      </c>
      <c r="M78" s="197">
        <f t="shared" si="25"/>
        <v>0</v>
      </c>
      <c r="N78" s="197">
        <f t="shared" si="25"/>
        <v>0</v>
      </c>
    </row>
    <row r="79" spans="1:14" s="200" customFormat="1" ht="13.5" hidden="1">
      <c r="A79" s="1407"/>
      <c r="B79" s="1408"/>
      <c r="C79" s="1408"/>
      <c r="D79" s="195" t="s">
        <v>23</v>
      </c>
      <c r="E79" s="197">
        <f>E77+E78</f>
        <v>257000</v>
      </c>
      <c r="F79" s="197">
        <f>F77+F78</f>
        <v>257000</v>
      </c>
      <c r="G79" s="198">
        <f>G77+G78</f>
        <v>0</v>
      </c>
      <c r="H79" s="158"/>
      <c r="I79" s="1409"/>
      <c r="J79" s="199" t="s">
        <v>23</v>
      </c>
      <c r="K79" s="197">
        <f>K77+K78</f>
        <v>257000</v>
      </c>
      <c r="L79" s="197">
        <f>L77+L78</f>
        <v>257000</v>
      </c>
      <c r="M79" s="197">
        <f>M77+M78</f>
        <v>0</v>
      </c>
      <c r="N79" s="197">
        <f>N77+N78</f>
        <v>0</v>
      </c>
    </row>
    <row r="80" spans="1:14" s="135" customFormat="1" ht="9" hidden="1" customHeight="1">
      <c r="A80" s="181"/>
      <c r="B80" s="182"/>
      <c r="C80" s="243"/>
      <c r="D80" s="244"/>
      <c r="E80" s="245"/>
      <c r="F80" s="185"/>
      <c r="G80" s="186"/>
      <c r="H80" s="160"/>
      <c r="I80" s="246"/>
      <c r="J80" s="247"/>
      <c r="K80" s="245"/>
      <c r="L80" s="248"/>
      <c r="M80" s="248"/>
      <c r="N80" s="248"/>
    </row>
    <row r="81" spans="1:14" ht="13.15" hidden="1" customHeight="1">
      <c r="A81" s="1397"/>
      <c r="B81" s="1397"/>
      <c r="C81" s="1398" t="s">
        <v>423</v>
      </c>
      <c r="D81" s="212" t="s">
        <v>21</v>
      </c>
      <c r="E81" s="213">
        <f>F81+G81</f>
        <v>257000</v>
      </c>
      <c r="F81" s="191">
        <v>257000</v>
      </c>
      <c r="G81" s="192">
        <v>0</v>
      </c>
      <c r="H81" s="158"/>
      <c r="I81" s="1399" t="s">
        <v>18</v>
      </c>
      <c r="J81" s="214" t="s">
        <v>21</v>
      </c>
      <c r="K81" s="213">
        <f>L81+M81+N81</f>
        <v>169900</v>
      </c>
      <c r="L81" s="191">
        <v>169900</v>
      </c>
      <c r="M81" s="191">
        <v>0</v>
      </c>
      <c r="N81" s="191">
        <v>0</v>
      </c>
    </row>
    <row r="82" spans="1:14" hidden="1">
      <c r="A82" s="1397"/>
      <c r="B82" s="1397"/>
      <c r="C82" s="1398"/>
      <c r="D82" s="212" t="s">
        <v>22</v>
      </c>
      <c r="E82" s="213">
        <f>F82+G82</f>
        <v>0</v>
      </c>
      <c r="F82" s="191"/>
      <c r="G82" s="192"/>
      <c r="H82" s="158"/>
      <c r="I82" s="1399"/>
      <c r="J82" s="214" t="s">
        <v>22</v>
      </c>
      <c r="K82" s="213">
        <f>L82+M82+N82</f>
        <v>0</v>
      </c>
      <c r="L82" s="191"/>
      <c r="M82" s="191"/>
      <c r="N82" s="191"/>
    </row>
    <row r="83" spans="1:14" hidden="1">
      <c r="A83" s="1397"/>
      <c r="B83" s="1397"/>
      <c r="C83" s="1398"/>
      <c r="D83" s="212" t="s">
        <v>23</v>
      </c>
      <c r="E83" s="213">
        <f>E81+E82</f>
        <v>257000</v>
      </c>
      <c r="F83" s="213">
        <f>F81+F82</f>
        <v>257000</v>
      </c>
      <c r="G83" s="233">
        <f>G81+G82</f>
        <v>0</v>
      </c>
      <c r="H83" s="158"/>
      <c r="I83" s="1399"/>
      <c r="J83" s="214" t="s">
        <v>23</v>
      </c>
      <c r="K83" s="213">
        <f>K81+K82</f>
        <v>169900</v>
      </c>
      <c r="L83" s="213">
        <f>L81+L82</f>
        <v>169900</v>
      </c>
      <c r="M83" s="213">
        <f>M81+M82</f>
        <v>0</v>
      </c>
      <c r="N83" s="213">
        <f>N81+N82</f>
        <v>0</v>
      </c>
    </row>
    <row r="84" spans="1:14" ht="9" hidden="1" customHeight="1">
      <c r="A84" s="146"/>
      <c r="B84" s="146"/>
      <c r="C84" s="149"/>
      <c r="D84" s="149"/>
      <c r="E84" s="216"/>
      <c r="F84" s="241"/>
      <c r="G84" s="242"/>
      <c r="H84" s="158"/>
      <c r="I84" s="231"/>
      <c r="J84" s="214"/>
      <c r="K84" s="213"/>
      <c r="L84" s="191"/>
      <c r="M84" s="191"/>
      <c r="N84" s="191"/>
    </row>
    <row r="85" spans="1:14" ht="13.15" hidden="1" customHeight="1">
      <c r="A85" s="1397"/>
      <c r="B85" s="1397"/>
      <c r="C85" s="1424" t="s">
        <v>239</v>
      </c>
      <c r="D85" s="1424"/>
      <c r="E85" s="1419" t="s">
        <v>239</v>
      </c>
      <c r="F85" s="1419" t="s">
        <v>239</v>
      </c>
      <c r="G85" s="1410" t="s">
        <v>239</v>
      </c>
      <c r="H85" s="158"/>
      <c r="I85" s="1399" t="s">
        <v>428</v>
      </c>
      <c r="J85" s="214" t="s">
        <v>21</v>
      </c>
      <c r="K85" s="213">
        <f>L85+M85+N85</f>
        <v>87100</v>
      </c>
      <c r="L85" s="191">
        <v>87100</v>
      </c>
      <c r="M85" s="191">
        <v>0</v>
      </c>
      <c r="N85" s="191">
        <v>0</v>
      </c>
    </row>
    <row r="86" spans="1:14" hidden="1">
      <c r="A86" s="1397"/>
      <c r="B86" s="1397"/>
      <c r="C86" s="1424"/>
      <c r="D86" s="1424"/>
      <c r="E86" s="1419"/>
      <c r="F86" s="1419"/>
      <c r="G86" s="1410"/>
      <c r="H86" s="158"/>
      <c r="I86" s="1399"/>
      <c r="J86" s="214" t="s">
        <v>22</v>
      </c>
      <c r="K86" s="213">
        <f>L86+M86+N86</f>
        <v>0</v>
      </c>
      <c r="L86" s="215"/>
      <c r="M86" s="215"/>
      <c r="N86" s="215"/>
    </row>
    <row r="87" spans="1:14" hidden="1">
      <c r="A87" s="1397"/>
      <c r="B87" s="1397"/>
      <c r="C87" s="1424"/>
      <c r="D87" s="1424"/>
      <c r="E87" s="1419"/>
      <c r="F87" s="1419"/>
      <c r="G87" s="1410"/>
      <c r="H87" s="158"/>
      <c r="I87" s="1399"/>
      <c r="J87" s="214" t="s">
        <v>23</v>
      </c>
      <c r="K87" s="213">
        <f>K85+K86</f>
        <v>87100</v>
      </c>
      <c r="L87" s="213">
        <f>L85+L86</f>
        <v>87100</v>
      </c>
      <c r="M87" s="213">
        <f>M85+M86</f>
        <v>0</v>
      </c>
      <c r="N87" s="213">
        <f>N85+N86</f>
        <v>0</v>
      </c>
    </row>
    <row r="88" spans="1:14" hidden="1">
      <c r="A88" s="234"/>
      <c r="B88" s="234"/>
      <c r="C88" s="235"/>
      <c r="D88" s="212"/>
      <c r="E88" s="213"/>
      <c r="F88" s="215"/>
      <c r="G88" s="232"/>
      <c r="H88" s="158"/>
      <c r="I88" s="238"/>
      <c r="J88" s="214"/>
      <c r="K88" s="213"/>
      <c r="L88" s="215"/>
      <c r="M88" s="215"/>
      <c r="N88" s="215"/>
    </row>
    <row r="89" spans="1:14" s="167" customFormat="1" ht="13.9" hidden="1" customHeight="1">
      <c r="A89" s="1411"/>
      <c r="B89" s="1412" t="s">
        <v>73</v>
      </c>
      <c r="C89" s="1413" t="s">
        <v>74</v>
      </c>
      <c r="D89" s="164" t="s">
        <v>21</v>
      </c>
      <c r="E89" s="31">
        <f t="shared" ref="E89:G90" si="26">E93</f>
        <v>187000</v>
      </c>
      <c r="F89" s="31">
        <f t="shared" si="26"/>
        <v>187000</v>
      </c>
      <c r="G89" s="165">
        <f t="shared" si="26"/>
        <v>0</v>
      </c>
      <c r="H89" s="155"/>
      <c r="I89" s="1414" t="s">
        <v>74</v>
      </c>
      <c r="J89" s="166" t="s">
        <v>21</v>
      </c>
      <c r="K89" s="31">
        <f t="shared" ref="K89:N90" si="27">K93</f>
        <v>187000</v>
      </c>
      <c r="L89" s="31">
        <f t="shared" si="27"/>
        <v>187000</v>
      </c>
      <c r="M89" s="31">
        <f t="shared" si="27"/>
        <v>0</v>
      </c>
      <c r="N89" s="31">
        <f t="shared" si="27"/>
        <v>0</v>
      </c>
    </row>
    <row r="90" spans="1:14" s="167" customFormat="1" ht="14.25" hidden="1">
      <c r="A90" s="1411"/>
      <c r="B90" s="1412"/>
      <c r="C90" s="1413"/>
      <c r="D90" s="168" t="s">
        <v>22</v>
      </c>
      <c r="E90" s="31">
        <f t="shared" si="26"/>
        <v>0</v>
      </c>
      <c r="F90" s="31">
        <f t="shared" si="26"/>
        <v>0</v>
      </c>
      <c r="G90" s="165">
        <f t="shared" si="26"/>
        <v>0</v>
      </c>
      <c r="H90" s="158"/>
      <c r="I90" s="1414"/>
      <c r="J90" s="169" t="s">
        <v>22</v>
      </c>
      <c r="K90" s="31">
        <f t="shared" si="27"/>
        <v>0</v>
      </c>
      <c r="L90" s="31">
        <f t="shared" si="27"/>
        <v>0</v>
      </c>
      <c r="M90" s="31">
        <f t="shared" si="27"/>
        <v>0</v>
      </c>
      <c r="N90" s="31">
        <f t="shared" si="27"/>
        <v>0</v>
      </c>
    </row>
    <row r="91" spans="1:14" s="167" customFormat="1" ht="14.25" hidden="1">
      <c r="A91" s="1411"/>
      <c r="B91" s="1412"/>
      <c r="C91" s="1413"/>
      <c r="D91" s="168" t="s">
        <v>23</v>
      </c>
      <c r="E91" s="250">
        <f>E89+E90</f>
        <v>187000</v>
      </c>
      <c r="F91" s="250">
        <f>F89+F90</f>
        <v>187000</v>
      </c>
      <c r="G91" s="251">
        <f>G89+G90</f>
        <v>0</v>
      </c>
      <c r="H91" s="160"/>
      <c r="I91" s="1414"/>
      <c r="J91" s="169" t="s">
        <v>23</v>
      </c>
      <c r="K91" s="250">
        <f>K89+K90</f>
        <v>187000</v>
      </c>
      <c r="L91" s="250">
        <f>L89+L90</f>
        <v>187000</v>
      </c>
      <c r="M91" s="250">
        <f>M89+M90</f>
        <v>0</v>
      </c>
      <c r="N91" s="250">
        <f>N89+N90</f>
        <v>0</v>
      </c>
    </row>
    <row r="92" spans="1:14" ht="9" hidden="1" customHeight="1">
      <c r="A92" s="172"/>
      <c r="B92" s="173"/>
      <c r="C92" s="174"/>
      <c r="D92" s="175"/>
      <c r="E92" s="239"/>
      <c r="F92" s="239"/>
      <c r="G92" s="240"/>
      <c r="H92" s="158"/>
      <c r="I92" s="179"/>
      <c r="J92" s="180"/>
      <c r="K92" s="177"/>
      <c r="L92" s="177"/>
      <c r="M92" s="177"/>
      <c r="N92" s="177"/>
    </row>
    <row r="93" spans="1:14" s="135" customFormat="1" ht="13.15" hidden="1" customHeight="1">
      <c r="A93" s="1403"/>
      <c r="B93" s="1404" t="s">
        <v>77</v>
      </c>
      <c r="C93" s="1405" t="s">
        <v>37</v>
      </c>
      <c r="D93" s="183" t="s">
        <v>21</v>
      </c>
      <c r="E93" s="185">
        <f t="shared" ref="E93:G94" si="28">E97</f>
        <v>187000</v>
      </c>
      <c r="F93" s="185">
        <f t="shared" si="28"/>
        <v>187000</v>
      </c>
      <c r="G93" s="186">
        <f t="shared" si="28"/>
        <v>0</v>
      </c>
      <c r="H93" s="158"/>
      <c r="I93" s="1406" t="s">
        <v>37</v>
      </c>
      <c r="J93" s="187" t="s">
        <v>21</v>
      </c>
      <c r="K93" s="185">
        <f t="shared" ref="K93:N94" si="29">K97</f>
        <v>187000</v>
      </c>
      <c r="L93" s="185">
        <f t="shared" si="29"/>
        <v>187000</v>
      </c>
      <c r="M93" s="185">
        <f t="shared" si="29"/>
        <v>0</v>
      </c>
      <c r="N93" s="185">
        <f t="shared" si="29"/>
        <v>0</v>
      </c>
    </row>
    <row r="94" spans="1:14" s="135" customFormat="1" hidden="1">
      <c r="A94" s="1403"/>
      <c r="B94" s="1404"/>
      <c r="C94" s="1405"/>
      <c r="D94" s="183" t="s">
        <v>22</v>
      </c>
      <c r="E94" s="185">
        <f t="shared" si="28"/>
        <v>0</v>
      </c>
      <c r="F94" s="185">
        <f t="shared" si="28"/>
        <v>0</v>
      </c>
      <c r="G94" s="186">
        <f t="shared" si="28"/>
        <v>0</v>
      </c>
      <c r="H94" s="158"/>
      <c r="I94" s="1406"/>
      <c r="J94" s="187" t="s">
        <v>22</v>
      </c>
      <c r="K94" s="185">
        <f t="shared" si="29"/>
        <v>0</v>
      </c>
      <c r="L94" s="185">
        <f t="shared" si="29"/>
        <v>0</v>
      </c>
      <c r="M94" s="185">
        <f t="shared" si="29"/>
        <v>0</v>
      </c>
      <c r="N94" s="185">
        <f t="shared" si="29"/>
        <v>0</v>
      </c>
    </row>
    <row r="95" spans="1:14" s="135" customFormat="1" hidden="1">
      <c r="A95" s="1403"/>
      <c r="B95" s="1404"/>
      <c r="C95" s="1405"/>
      <c r="D95" s="183" t="s">
        <v>23</v>
      </c>
      <c r="E95" s="185">
        <f>E93+E94</f>
        <v>187000</v>
      </c>
      <c r="F95" s="185">
        <f>F93+F94</f>
        <v>187000</v>
      </c>
      <c r="G95" s="186">
        <f>G93+G94</f>
        <v>0</v>
      </c>
      <c r="H95" s="158"/>
      <c r="I95" s="1406"/>
      <c r="J95" s="187" t="s">
        <v>23</v>
      </c>
      <c r="K95" s="185">
        <f>K93+K94</f>
        <v>187000</v>
      </c>
      <c r="L95" s="185">
        <f>L93+L94</f>
        <v>187000</v>
      </c>
      <c r="M95" s="185">
        <f>M93+M94</f>
        <v>0</v>
      </c>
      <c r="N95" s="185">
        <f>N93+N94</f>
        <v>0</v>
      </c>
    </row>
    <row r="96" spans="1:14" ht="9" hidden="1" customHeight="1">
      <c r="A96" s="146"/>
      <c r="B96" s="189"/>
      <c r="C96" s="148"/>
      <c r="D96" s="149"/>
      <c r="E96" s="241"/>
      <c r="F96" s="241"/>
      <c r="G96" s="242"/>
      <c r="H96" s="158"/>
      <c r="I96" s="193"/>
      <c r="J96" s="194"/>
      <c r="K96" s="191"/>
      <c r="L96" s="191"/>
      <c r="M96" s="191"/>
      <c r="N96" s="191"/>
    </row>
    <row r="97" spans="1:14" s="200" customFormat="1" ht="13.9" hidden="1" customHeight="1">
      <c r="A97" s="1407">
        <v>4</v>
      </c>
      <c r="B97" s="1408" t="s">
        <v>429</v>
      </c>
      <c r="C97" s="1408"/>
      <c r="D97" s="195" t="s">
        <v>21</v>
      </c>
      <c r="E97" s="197">
        <f t="shared" ref="E97:G98" si="30">E101</f>
        <v>187000</v>
      </c>
      <c r="F97" s="197">
        <f t="shared" si="30"/>
        <v>187000</v>
      </c>
      <c r="G97" s="198">
        <f t="shared" si="30"/>
        <v>0</v>
      </c>
      <c r="H97" s="158"/>
      <c r="I97" s="1409" t="s">
        <v>429</v>
      </c>
      <c r="J97" s="199" t="s">
        <v>21</v>
      </c>
      <c r="K97" s="197">
        <f t="shared" ref="K97:N98" si="31">K101</f>
        <v>187000</v>
      </c>
      <c r="L97" s="197">
        <f t="shared" si="31"/>
        <v>187000</v>
      </c>
      <c r="M97" s="197">
        <f t="shared" si="31"/>
        <v>0</v>
      </c>
      <c r="N97" s="197">
        <f t="shared" si="31"/>
        <v>0</v>
      </c>
    </row>
    <row r="98" spans="1:14" s="200" customFormat="1" ht="13.5" hidden="1">
      <c r="A98" s="1407"/>
      <c r="B98" s="1408"/>
      <c r="C98" s="1408"/>
      <c r="D98" s="195" t="s">
        <v>22</v>
      </c>
      <c r="E98" s="197">
        <f t="shared" si="30"/>
        <v>0</v>
      </c>
      <c r="F98" s="197">
        <f t="shared" si="30"/>
        <v>0</v>
      </c>
      <c r="G98" s="198">
        <f t="shared" si="30"/>
        <v>0</v>
      </c>
      <c r="H98" s="158"/>
      <c r="I98" s="1409"/>
      <c r="J98" s="199" t="s">
        <v>22</v>
      </c>
      <c r="K98" s="197">
        <f t="shared" si="31"/>
        <v>0</v>
      </c>
      <c r="L98" s="197">
        <f t="shared" si="31"/>
        <v>0</v>
      </c>
      <c r="M98" s="197">
        <f t="shared" si="31"/>
        <v>0</v>
      </c>
      <c r="N98" s="197">
        <f t="shared" si="31"/>
        <v>0</v>
      </c>
    </row>
    <row r="99" spans="1:14" s="200" customFormat="1" ht="13.5" hidden="1">
      <c r="A99" s="1407"/>
      <c r="B99" s="1408"/>
      <c r="C99" s="1408"/>
      <c r="D99" s="195" t="s">
        <v>23</v>
      </c>
      <c r="E99" s="197">
        <f>E97+E98</f>
        <v>187000</v>
      </c>
      <c r="F99" s="197">
        <f>F97+F98</f>
        <v>187000</v>
      </c>
      <c r="G99" s="198">
        <f>G97+G98</f>
        <v>0</v>
      </c>
      <c r="H99" s="158"/>
      <c r="I99" s="1409"/>
      <c r="J99" s="199" t="s">
        <v>23</v>
      </c>
      <c r="K99" s="197">
        <f>K97+K98</f>
        <v>187000</v>
      </c>
      <c r="L99" s="197">
        <f>L97+L98</f>
        <v>187000</v>
      </c>
      <c r="M99" s="197">
        <f>M97+M98</f>
        <v>0</v>
      </c>
      <c r="N99" s="197">
        <f>N97+N98</f>
        <v>0</v>
      </c>
    </row>
    <row r="100" spans="1:14" s="135" customFormat="1" ht="9" hidden="1" customHeight="1">
      <c r="A100" s="181"/>
      <c r="B100" s="182"/>
      <c r="C100" s="243"/>
      <c r="D100" s="244"/>
      <c r="E100" s="245"/>
      <c r="F100" s="185"/>
      <c r="G100" s="186"/>
      <c r="H100" s="158"/>
      <c r="I100" s="246"/>
      <c r="J100" s="247"/>
      <c r="K100" s="245"/>
      <c r="L100" s="248"/>
      <c r="M100" s="248"/>
      <c r="N100" s="248"/>
    </row>
    <row r="101" spans="1:14" ht="13.15" hidden="1" customHeight="1">
      <c r="A101" s="1415"/>
      <c r="B101" s="1415"/>
      <c r="C101" s="1416" t="s">
        <v>423</v>
      </c>
      <c r="D101" s="220" t="s">
        <v>21</v>
      </c>
      <c r="E101" s="221">
        <f>F101+G101</f>
        <v>187000</v>
      </c>
      <c r="F101" s="177">
        <v>187000</v>
      </c>
      <c r="G101" s="178">
        <v>0</v>
      </c>
      <c r="H101" s="158"/>
      <c r="I101" s="1417" t="s">
        <v>18</v>
      </c>
      <c r="J101" s="225" t="s">
        <v>21</v>
      </c>
      <c r="K101" s="221">
        <f>L101+M101+N101</f>
        <v>187000</v>
      </c>
      <c r="L101" s="177">
        <v>187000</v>
      </c>
      <c r="M101" s="177">
        <v>0</v>
      </c>
      <c r="N101" s="177">
        <v>0</v>
      </c>
    </row>
    <row r="102" spans="1:14" hidden="1">
      <c r="A102" s="1415"/>
      <c r="B102" s="1415"/>
      <c r="C102" s="1416"/>
      <c r="D102" s="212" t="s">
        <v>22</v>
      </c>
      <c r="E102" s="213">
        <f>F102+G102</f>
        <v>0</v>
      </c>
      <c r="F102" s="215"/>
      <c r="G102" s="232"/>
      <c r="H102" s="158"/>
      <c r="I102" s="1417"/>
      <c r="J102" s="214" t="s">
        <v>22</v>
      </c>
      <c r="K102" s="213">
        <f>L102+M102+N102</f>
        <v>0</v>
      </c>
      <c r="L102" s="215"/>
      <c r="M102" s="215"/>
      <c r="N102" s="215"/>
    </row>
    <row r="103" spans="1:14" hidden="1">
      <c r="A103" s="1415"/>
      <c r="B103" s="1415"/>
      <c r="C103" s="1416"/>
      <c r="D103" s="212" t="s">
        <v>23</v>
      </c>
      <c r="E103" s="213">
        <f>E101+E102</f>
        <v>187000</v>
      </c>
      <c r="F103" s="213">
        <f>F101+F102</f>
        <v>187000</v>
      </c>
      <c r="G103" s="233">
        <f>G101+G102</f>
        <v>0</v>
      </c>
      <c r="H103" s="158"/>
      <c r="I103" s="1417"/>
      <c r="J103" s="214" t="s">
        <v>23</v>
      </c>
      <c r="K103" s="213">
        <f>K101+K102</f>
        <v>187000</v>
      </c>
      <c r="L103" s="213">
        <f>L101+L102</f>
        <v>187000</v>
      </c>
      <c r="M103" s="213">
        <f>M101+M102</f>
        <v>0</v>
      </c>
      <c r="N103" s="213">
        <f>N101+N102</f>
        <v>0</v>
      </c>
    </row>
    <row r="104" spans="1:14" ht="9" hidden="1" customHeight="1">
      <c r="A104" s="234"/>
      <c r="B104" s="254"/>
      <c r="C104" s="255"/>
      <c r="D104" s="212"/>
      <c r="E104" s="213"/>
      <c r="F104" s="256"/>
      <c r="G104" s="257"/>
      <c r="H104" s="158"/>
      <c r="I104" s="258"/>
      <c r="J104" s="214"/>
      <c r="K104" s="213"/>
      <c r="L104" s="215"/>
      <c r="M104" s="215"/>
      <c r="N104" s="215"/>
    </row>
    <row r="105" spans="1:14" s="167" customFormat="1" ht="13.9" hidden="1" customHeight="1">
      <c r="A105" s="1411"/>
      <c r="B105" s="1412" t="s">
        <v>82</v>
      </c>
      <c r="C105" s="1413" t="s">
        <v>83</v>
      </c>
      <c r="D105" s="164" t="s">
        <v>21</v>
      </c>
      <c r="E105" s="31">
        <f t="shared" ref="E105:G106" si="32">E109+E125</f>
        <v>383000</v>
      </c>
      <c r="F105" s="31">
        <f t="shared" si="32"/>
        <v>383000</v>
      </c>
      <c r="G105" s="165">
        <f t="shared" si="32"/>
        <v>0</v>
      </c>
      <c r="H105" s="155"/>
      <c r="I105" s="1414" t="s">
        <v>83</v>
      </c>
      <c r="J105" s="166" t="s">
        <v>21</v>
      </c>
      <c r="K105" s="31">
        <f t="shared" ref="K105:N106" si="33">K109+K125</f>
        <v>383000</v>
      </c>
      <c r="L105" s="31">
        <f t="shared" si="33"/>
        <v>383000</v>
      </c>
      <c r="M105" s="31">
        <f t="shared" si="33"/>
        <v>0</v>
      </c>
      <c r="N105" s="31">
        <f t="shared" si="33"/>
        <v>0</v>
      </c>
    </row>
    <row r="106" spans="1:14" s="167" customFormat="1" ht="14.25" hidden="1">
      <c r="A106" s="1411"/>
      <c r="B106" s="1412"/>
      <c r="C106" s="1413"/>
      <c r="D106" s="168" t="s">
        <v>22</v>
      </c>
      <c r="E106" s="31">
        <f t="shared" si="32"/>
        <v>0</v>
      </c>
      <c r="F106" s="31">
        <f t="shared" si="32"/>
        <v>0</v>
      </c>
      <c r="G106" s="165">
        <f t="shared" si="32"/>
        <v>0</v>
      </c>
      <c r="H106" s="158"/>
      <c r="I106" s="1414"/>
      <c r="J106" s="166" t="s">
        <v>22</v>
      </c>
      <c r="K106" s="31">
        <f t="shared" si="33"/>
        <v>0</v>
      </c>
      <c r="L106" s="31">
        <f t="shared" si="33"/>
        <v>0</v>
      </c>
      <c r="M106" s="31">
        <f t="shared" si="33"/>
        <v>0</v>
      </c>
      <c r="N106" s="31">
        <f t="shared" si="33"/>
        <v>0</v>
      </c>
    </row>
    <row r="107" spans="1:14" s="167" customFormat="1" ht="14.25" hidden="1">
      <c r="A107" s="1411"/>
      <c r="B107" s="1412"/>
      <c r="C107" s="1413"/>
      <c r="D107" s="168" t="s">
        <v>23</v>
      </c>
      <c r="E107" s="250">
        <f>E105+E106</f>
        <v>383000</v>
      </c>
      <c r="F107" s="250">
        <f>F105+F106</f>
        <v>383000</v>
      </c>
      <c r="G107" s="251">
        <f>G105+G106</f>
        <v>0</v>
      </c>
      <c r="H107" s="160"/>
      <c r="I107" s="1414"/>
      <c r="J107" s="166" t="s">
        <v>23</v>
      </c>
      <c r="K107" s="31">
        <f>K105+K106</f>
        <v>383000</v>
      </c>
      <c r="L107" s="31">
        <f>L105+L106</f>
        <v>383000</v>
      </c>
      <c r="M107" s="31">
        <f>M105+M106</f>
        <v>0</v>
      </c>
      <c r="N107" s="31">
        <f>N105+N106</f>
        <v>0</v>
      </c>
    </row>
    <row r="108" spans="1:14" ht="9" hidden="1" customHeight="1">
      <c r="A108" s="172"/>
      <c r="B108" s="173"/>
      <c r="C108" s="174"/>
      <c r="D108" s="175"/>
      <c r="E108" s="239"/>
      <c r="F108" s="239"/>
      <c r="G108" s="240"/>
      <c r="H108" s="158"/>
      <c r="I108" s="179"/>
      <c r="J108" s="180"/>
      <c r="K108" s="177"/>
      <c r="L108" s="177"/>
      <c r="M108" s="177"/>
      <c r="N108" s="177"/>
    </row>
    <row r="109" spans="1:14" s="135" customFormat="1" ht="13.15" hidden="1" customHeight="1">
      <c r="A109" s="1403"/>
      <c r="B109" s="1404" t="s">
        <v>88</v>
      </c>
      <c r="C109" s="1405" t="s">
        <v>89</v>
      </c>
      <c r="D109" s="244" t="s">
        <v>21</v>
      </c>
      <c r="E109" s="185">
        <f t="shared" ref="E109:G110" si="34">E113</f>
        <v>268000</v>
      </c>
      <c r="F109" s="185">
        <f t="shared" si="34"/>
        <v>268000</v>
      </c>
      <c r="G109" s="186">
        <f t="shared" si="34"/>
        <v>0</v>
      </c>
      <c r="H109" s="158"/>
      <c r="I109" s="1406" t="s">
        <v>89</v>
      </c>
      <c r="J109" s="259" t="s">
        <v>21</v>
      </c>
      <c r="K109" s="260">
        <f t="shared" ref="K109:N110" si="35">K113</f>
        <v>268000</v>
      </c>
      <c r="L109" s="185">
        <f t="shared" si="35"/>
        <v>268000</v>
      </c>
      <c r="M109" s="185">
        <f t="shared" si="35"/>
        <v>0</v>
      </c>
      <c r="N109" s="185">
        <f t="shared" si="35"/>
        <v>0</v>
      </c>
    </row>
    <row r="110" spans="1:14" s="135" customFormat="1" hidden="1">
      <c r="A110" s="1403"/>
      <c r="B110" s="1404"/>
      <c r="C110" s="1405"/>
      <c r="D110" s="261" t="s">
        <v>22</v>
      </c>
      <c r="E110" s="185">
        <f t="shared" si="34"/>
        <v>0</v>
      </c>
      <c r="F110" s="185">
        <f t="shared" si="34"/>
        <v>0</v>
      </c>
      <c r="G110" s="186">
        <f t="shared" si="34"/>
        <v>0</v>
      </c>
      <c r="H110" s="158"/>
      <c r="I110" s="1406"/>
      <c r="J110" s="262" t="s">
        <v>22</v>
      </c>
      <c r="K110" s="260">
        <f t="shared" si="35"/>
        <v>0</v>
      </c>
      <c r="L110" s="185">
        <f t="shared" si="35"/>
        <v>0</v>
      </c>
      <c r="M110" s="185">
        <f t="shared" si="35"/>
        <v>0</v>
      </c>
      <c r="N110" s="185">
        <f t="shared" si="35"/>
        <v>0</v>
      </c>
    </row>
    <row r="111" spans="1:14" s="135" customFormat="1" hidden="1">
      <c r="A111" s="1403"/>
      <c r="B111" s="1404"/>
      <c r="C111" s="1405"/>
      <c r="D111" s="261" t="s">
        <v>23</v>
      </c>
      <c r="E111" s="263">
        <f>E109+E110</f>
        <v>268000</v>
      </c>
      <c r="F111" s="263">
        <f>F109+F110</f>
        <v>268000</v>
      </c>
      <c r="G111" s="264">
        <f>G109+G110</f>
        <v>0</v>
      </c>
      <c r="H111" s="158"/>
      <c r="I111" s="1406"/>
      <c r="J111" s="262" t="s">
        <v>23</v>
      </c>
      <c r="K111" s="265">
        <f>K109+K110</f>
        <v>268000</v>
      </c>
      <c r="L111" s="265">
        <f>L109+L110</f>
        <v>268000</v>
      </c>
      <c r="M111" s="265">
        <f>M109+M110</f>
        <v>0</v>
      </c>
      <c r="N111" s="265">
        <f>N109+N110</f>
        <v>0</v>
      </c>
    </row>
    <row r="112" spans="1:14" ht="9" hidden="1" customHeight="1">
      <c r="A112" s="172"/>
      <c r="B112" s="173"/>
      <c r="C112" s="174"/>
      <c r="D112" s="175"/>
      <c r="E112" s="239"/>
      <c r="F112" s="239"/>
      <c r="G112" s="240"/>
      <c r="H112" s="158"/>
      <c r="I112" s="179"/>
      <c r="J112" s="180"/>
      <c r="K112" s="177"/>
      <c r="L112" s="177"/>
      <c r="M112" s="177"/>
      <c r="N112" s="177"/>
    </row>
    <row r="113" spans="1:14" s="200" customFormat="1" ht="13.9" hidden="1" customHeight="1">
      <c r="A113" s="1407">
        <v>5</v>
      </c>
      <c r="B113" s="1408" t="s">
        <v>430</v>
      </c>
      <c r="C113" s="1408"/>
      <c r="D113" s="195" t="s">
        <v>21</v>
      </c>
      <c r="E113" s="197">
        <f t="shared" ref="E113:G114" si="36">E117</f>
        <v>268000</v>
      </c>
      <c r="F113" s="197">
        <f t="shared" si="36"/>
        <v>268000</v>
      </c>
      <c r="G113" s="198">
        <f t="shared" si="36"/>
        <v>0</v>
      </c>
      <c r="H113" s="158"/>
      <c r="I113" s="1409" t="s">
        <v>430</v>
      </c>
      <c r="J113" s="199" t="s">
        <v>21</v>
      </c>
      <c r="K113" s="197">
        <f t="shared" ref="K113:N114" si="37">K117+K121</f>
        <v>268000</v>
      </c>
      <c r="L113" s="197">
        <f t="shared" si="37"/>
        <v>268000</v>
      </c>
      <c r="M113" s="197">
        <f t="shared" si="37"/>
        <v>0</v>
      </c>
      <c r="N113" s="197">
        <f t="shared" si="37"/>
        <v>0</v>
      </c>
    </row>
    <row r="114" spans="1:14" s="200" customFormat="1" ht="13.5" hidden="1">
      <c r="A114" s="1407"/>
      <c r="B114" s="1408"/>
      <c r="C114" s="1408"/>
      <c r="D114" s="195" t="s">
        <v>22</v>
      </c>
      <c r="E114" s="197">
        <f t="shared" si="36"/>
        <v>0</v>
      </c>
      <c r="F114" s="197">
        <f t="shared" si="36"/>
        <v>0</v>
      </c>
      <c r="G114" s="198">
        <f t="shared" si="36"/>
        <v>0</v>
      </c>
      <c r="H114" s="158"/>
      <c r="I114" s="1409"/>
      <c r="J114" s="199" t="s">
        <v>22</v>
      </c>
      <c r="K114" s="197">
        <f t="shared" si="37"/>
        <v>0</v>
      </c>
      <c r="L114" s="197">
        <f t="shared" si="37"/>
        <v>0</v>
      </c>
      <c r="M114" s="197">
        <f t="shared" si="37"/>
        <v>0</v>
      </c>
      <c r="N114" s="197">
        <f t="shared" si="37"/>
        <v>0</v>
      </c>
    </row>
    <row r="115" spans="1:14" s="200" customFormat="1" ht="13.5" hidden="1">
      <c r="A115" s="1407"/>
      <c r="B115" s="1408"/>
      <c r="C115" s="1408"/>
      <c r="D115" s="195" t="s">
        <v>23</v>
      </c>
      <c r="E115" s="197">
        <f>E113+E114</f>
        <v>268000</v>
      </c>
      <c r="F115" s="197">
        <f>F113+F114</f>
        <v>268000</v>
      </c>
      <c r="G115" s="198">
        <f>G113+G114</f>
        <v>0</v>
      </c>
      <c r="H115" s="158"/>
      <c r="I115" s="1409"/>
      <c r="J115" s="199" t="s">
        <v>23</v>
      </c>
      <c r="K115" s="197">
        <f>K113+K114</f>
        <v>268000</v>
      </c>
      <c r="L115" s="197">
        <f>L113+L114</f>
        <v>268000</v>
      </c>
      <c r="M115" s="197">
        <f>M113+M114</f>
        <v>0</v>
      </c>
      <c r="N115" s="197">
        <f>N113+N114</f>
        <v>0</v>
      </c>
    </row>
    <row r="116" spans="1:14" s="135" customFormat="1" ht="9" hidden="1" customHeight="1">
      <c r="A116" s="181"/>
      <c r="B116" s="182"/>
      <c r="C116" s="243"/>
      <c r="D116" s="244"/>
      <c r="E116" s="245"/>
      <c r="F116" s="185"/>
      <c r="G116" s="186"/>
      <c r="H116" s="158"/>
      <c r="I116" s="246"/>
      <c r="J116" s="247"/>
      <c r="K116" s="245"/>
      <c r="L116" s="248"/>
      <c r="M116" s="248"/>
      <c r="N116" s="248"/>
    </row>
    <row r="117" spans="1:14" ht="13.15" hidden="1" customHeight="1">
      <c r="A117" s="1397"/>
      <c r="B117" s="1397"/>
      <c r="C117" s="1398" t="s">
        <v>423</v>
      </c>
      <c r="D117" s="149" t="s">
        <v>21</v>
      </c>
      <c r="E117" s="216">
        <f>F117+G117</f>
        <v>268000</v>
      </c>
      <c r="F117" s="191">
        <v>268000</v>
      </c>
      <c r="G117" s="192">
        <v>0</v>
      </c>
      <c r="H117" s="158"/>
      <c r="I117" s="1399" t="s">
        <v>18</v>
      </c>
      <c r="J117" s="194" t="s">
        <v>21</v>
      </c>
      <c r="K117" s="216">
        <f>L117+M117+N117</f>
        <v>238000</v>
      </c>
      <c r="L117" s="191">
        <v>238000</v>
      </c>
      <c r="M117" s="191">
        <v>0</v>
      </c>
      <c r="N117" s="191">
        <v>0</v>
      </c>
    </row>
    <row r="118" spans="1:14" hidden="1">
      <c r="A118" s="1397"/>
      <c r="B118" s="1397"/>
      <c r="C118" s="1398"/>
      <c r="D118" s="175" t="s">
        <v>22</v>
      </c>
      <c r="E118" s="216">
        <f>F118+G118</f>
        <v>0</v>
      </c>
      <c r="F118" s="177"/>
      <c r="G118" s="178"/>
      <c r="H118" s="158"/>
      <c r="I118" s="1399"/>
      <c r="J118" s="194" t="s">
        <v>22</v>
      </c>
      <c r="K118" s="216">
        <f>L118+M118+N118</f>
        <v>0</v>
      </c>
      <c r="L118" s="177"/>
      <c r="M118" s="177"/>
      <c r="N118" s="177"/>
    </row>
    <row r="119" spans="1:14" hidden="1">
      <c r="A119" s="1397"/>
      <c r="B119" s="1397"/>
      <c r="C119" s="1398"/>
      <c r="D119" s="175" t="s">
        <v>23</v>
      </c>
      <c r="E119" s="266">
        <f>E117+E118</f>
        <v>268000</v>
      </c>
      <c r="F119" s="266">
        <f>F117+F118</f>
        <v>268000</v>
      </c>
      <c r="G119" s="267">
        <f>G117+G118</f>
        <v>0</v>
      </c>
      <c r="H119" s="158"/>
      <c r="I119" s="1399"/>
      <c r="J119" s="194" t="s">
        <v>23</v>
      </c>
      <c r="K119" s="216">
        <f>K117+K118</f>
        <v>238000</v>
      </c>
      <c r="L119" s="216">
        <f>L117+L118</f>
        <v>238000</v>
      </c>
      <c r="M119" s="216">
        <f>M117+M118</f>
        <v>0</v>
      </c>
      <c r="N119" s="216">
        <f>N117+N118</f>
        <v>0</v>
      </c>
    </row>
    <row r="120" spans="1:14" hidden="1">
      <c r="A120" s="172"/>
      <c r="B120" s="172"/>
      <c r="C120" s="252"/>
      <c r="D120" s="175"/>
      <c r="E120" s="266"/>
      <c r="F120" s="177"/>
      <c r="G120" s="178"/>
      <c r="H120" s="158"/>
      <c r="I120" s="253"/>
      <c r="J120" s="225"/>
      <c r="K120" s="221"/>
      <c r="L120" s="177"/>
      <c r="M120" s="177"/>
      <c r="N120" s="177"/>
    </row>
    <row r="121" spans="1:14" ht="13.15" hidden="1" customHeight="1">
      <c r="A121" s="1397"/>
      <c r="B121" s="1397"/>
      <c r="C121" s="1424" t="s">
        <v>239</v>
      </c>
      <c r="D121" s="1424"/>
      <c r="E121" s="1419" t="s">
        <v>239</v>
      </c>
      <c r="F121" s="1419" t="s">
        <v>239</v>
      </c>
      <c r="G121" s="1410" t="s">
        <v>239</v>
      </c>
      <c r="H121" s="158"/>
      <c r="I121" s="1399" t="s">
        <v>428</v>
      </c>
      <c r="J121" s="194" t="s">
        <v>21</v>
      </c>
      <c r="K121" s="216">
        <f>L121+M121+N121</f>
        <v>30000</v>
      </c>
      <c r="L121" s="191">
        <v>30000</v>
      </c>
      <c r="M121" s="191">
        <v>0</v>
      </c>
      <c r="N121" s="191">
        <v>0</v>
      </c>
    </row>
    <row r="122" spans="1:14" hidden="1">
      <c r="A122" s="1397"/>
      <c r="B122" s="1397"/>
      <c r="C122" s="1424"/>
      <c r="D122" s="1424"/>
      <c r="E122" s="1419"/>
      <c r="F122" s="1419"/>
      <c r="G122" s="1410"/>
      <c r="H122" s="158"/>
      <c r="I122" s="1399"/>
      <c r="J122" s="194" t="s">
        <v>22</v>
      </c>
      <c r="K122" s="216">
        <f>L122+M122+N122</f>
        <v>0</v>
      </c>
      <c r="L122" s="191"/>
      <c r="M122" s="191"/>
      <c r="N122" s="191"/>
    </row>
    <row r="123" spans="1:14" hidden="1">
      <c r="A123" s="1397"/>
      <c r="B123" s="1397"/>
      <c r="C123" s="1424"/>
      <c r="D123" s="1424"/>
      <c r="E123" s="1419"/>
      <c r="F123" s="1419"/>
      <c r="G123" s="1410"/>
      <c r="H123" s="158"/>
      <c r="I123" s="1399"/>
      <c r="J123" s="194" t="s">
        <v>23</v>
      </c>
      <c r="K123" s="216">
        <f>K121+K122</f>
        <v>30000</v>
      </c>
      <c r="L123" s="216">
        <f>L121+L122</f>
        <v>30000</v>
      </c>
      <c r="M123" s="216">
        <f>M121+M122</f>
        <v>0</v>
      </c>
      <c r="N123" s="216">
        <f>N121+N122</f>
        <v>0</v>
      </c>
    </row>
    <row r="124" spans="1:14" ht="9" hidden="1" customHeight="1">
      <c r="A124" s="146"/>
      <c r="B124" s="189"/>
      <c r="C124" s="148"/>
      <c r="D124" s="149"/>
      <c r="E124" s="216"/>
      <c r="F124" s="241"/>
      <c r="G124" s="242"/>
      <c r="H124" s="158"/>
      <c r="I124" s="193"/>
      <c r="J124" s="194"/>
      <c r="K124" s="216"/>
      <c r="L124" s="191"/>
      <c r="M124" s="191"/>
      <c r="N124" s="191"/>
    </row>
    <row r="125" spans="1:14" s="135" customFormat="1" ht="13.15" hidden="1" customHeight="1">
      <c r="A125" s="1403"/>
      <c r="B125" s="1404" t="s">
        <v>90</v>
      </c>
      <c r="C125" s="1405" t="s">
        <v>91</v>
      </c>
      <c r="D125" s="183" t="s">
        <v>21</v>
      </c>
      <c r="E125" s="185">
        <f t="shared" ref="E125:G126" si="38">E129</f>
        <v>115000</v>
      </c>
      <c r="F125" s="185">
        <f t="shared" si="38"/>
        <v>115000</v>
      </c>
      <c r="G125" s="186">
        <f t="shared" si="38"/>
        <v>0</v>
      </c>
      <c r="H125" s="158"/>
      <c r="I125" s="1406" t="s">
        <v>91</v>
      </c>
      <c r="J125" s="187" t="s">
        <v>21</v>
      </c>
      <c r="K125" s="185">
        <f t="shared" ref="K125:N126" si="39">K129</f>
        <v>115000</v>
      </c>
      <c r="L125" s="185">
        <f t="shared" si="39"/>
        <v>115000</v>
      </c>
      <c r="M125" s="185">
        <f t="shared" si="39"/>
        <v>0</v>
      </c>
      <c r="N125" s="185">
        <f t="shared" si="39"/>
        <v>0</v>
      </c>
    </row>
    <row r="126" spans="1:14" s="135" customFormat="1" hidden="1">
      <c r="A126" s="1403"/>
      <c r="B126" s="1404"/>
      <c r="C126" s="1405"/>
      <c r="D126" s="183" t="s">
        <v>22</v>
      </c>
      <c r="E126" s="185">
        <f t="shared" si="38"/>
        <v>0</v>
      </c>
      <c r="F126" s="185">
        <f t="shared" si="38"/>
        <v>0</v>
      </c>
      <c r="G126" s="186">
        <f t="shared" si="38"/>
        <v>0</v>
      </c>
      <c r="H126" s="158"/>
      <c r="I126" s="1406"/>
      <c r="J126" s="268" t="s">
        <v>22</v>
      </c>
      <c r="K126" s="185">
        <f t="shared" si="39"/>
        <v>0</v>
      </c>
      <c r="L126" s="185">
        <f t="shared" si="39"/>
        <v>0</v>
      </c>
      <c r="M126" s="185">
        <f t="shared" si="39"/>
        <v>0</v>
      </c>
      <c r="N126" s="185">
        <f t="shared" si="39"/>
        <v>0</v>
      </c>
    </row>
    <row r="127" spans="1:14" s="135" customFormat="1" hidden="1">
      <c r="A127" s="1403"/>
      <c r="B127" s="1404"/>
      <c r="C127" s="1405"/>
      <c r="D127" s="183" t="s">
        <v>23</v>
      </c>
      <c r="E127" s="185">
        <f>E125+E126</f>
        <v>115000</v>
      </c>
      <c r="F127" s="185">
        <f>F125+F126</f>
        <v>115000</v>
      </c>
      <c r="G127" s="186">
        <f>G125+G126</f>
        <v>0</v>
      </c>
      <c r="H127" s="158"/>
      <c r="I127" s="1406"/>
      <c r="J127" s="268" t="s">
        <v>23</v>
      </c>
      <c r="K127" s="185">
        <f>K125+K126</f>
        <v>115000</v>
      </c>
      <c r="L127" s="185">
        <f>L125+L126</f>
        <v>115000</v>
      </c>
      <c r="M127" s="185">
        <f>M125+M126</f>
        <v>0</v>
      </c>
      <c r="N127" s="185">
        <f>N125+N126</f>
        <v>0</v>
      </c>
    </row>
    <row r="128" spans="1:14" ht="6" hidden="1" customHeight="1">
      <c r="A128" s="146"/>
      <c r="B128" s="249"/>
      <c r="C128" s="249"/>
      <c r="D128" s="204"/>
      <c r="E128" s="241"/>
      <c r="F128" s="241"/>
      <c r="G128" s="242"/>
      <c r="H128" s="158"/>
      <c r="I128" s="193"/>
      <c r="J128" s="269"/>
      <c r="K128" s="191"/>
      <c r="L128" s="191"/>
      <c r="M128" s="191"/>
      <c r="N128" s="191"/>
    </row>
    <row r="129" spans="1:14" s="200" customFormat="1" ht="13.9" hidden="1" customHeight="1">
      <c r="A129" s="1407">
        <v>6</v>
      </c>
      <c r="B129" s="1408" t="s">
        <v>431</v>
      </c>
      <c r="C129" s="1408"/>
      <c r="D129" s="204" t="s">
        <v>21</v>
      </c>
      <c r="E129" s="270">
        <f t="shared" ref="E129:G130" si="40">E133</f>
        <v>115000</v>
      </c>
      <c r="F129" s="270">
        <f t="shared" si="40"/>
        <v>115000</v>
      </c>
      <c r="G129" s="271">
        <f t="shared" si="40"/>
        <v>0</v>
      </c>
      <c r="H129" s="158"/>
      <c r="I129" s="1409" t="s">
        <v>431</v>
      </c>
      <c r="J129" s="209" t="s">
        <v>21</v>
      </c>
      <c r="K129" s="270">
        <f t="shared" ref="K129:N130" si="41">K133</f>
        <v>115000</v>
      </c>
      <c r="L129" s="270">
        <f t="shared" si="41"/>
        <v>115000</v>
      </c>
      <c r="M129" s="270">
        <f t="shared" si="41"/>
        <v>0</v>
      </c>
      <c r="N129" s="270">
        <f t="shared" si="41"/>
        <v>0</v>
      </c>
    </row>
    <row r="130" spans="1:14" s="200" customFormat="1" ht="13.5" hidden="1">
      <c r="A130" s="1407"/>
      <c r="B130" s="1408"/>
      <c r="C130" s="1408"/>
      <c r="D130" s="204" t="s">
        <v>22</v>
      </c>
      <c r="E130" s="270">
        <f t="shared" si="40"/>
        <v>0</v>
      </c>
      <c r="F130" s="270">
        <f t="shared" si="40"/>
        <v>0</v>
      </c>
      <c r="G130" s="271">
        <f t="shared" si="40"/>
        <v>0</v>
      </c>
      <c r="H130" s="158"/>
      <c r="I130" s="1409"/>
      <c r="J130" s="209" t="s">
        <v>22</v>
      </c>
      <c r="K130" s="270">
        <f t="shared" si="41"/>
        <v>0</v>
      </c>
      <c r="L130" s="270">
        <f t="shared" si="41"/>
        <v>0</v>
      </c>
      <c r="M130" s="270">
        <f t="shared" si="41"/>
        <v>0</v>
      </c>
      <c r="N130" s="270">
        <f t="shared" si="41"/>
        <v>0</v>
      </c>
    </row>
    <row r="131" spans="1:14" s="200" customFormat="1" ht="13.5" hidden="1">
      <c r="A131" s="1407"/>
      <c r="B131" s="1408"/>
      <c r="C131" s="1408"/>
      <c r="D131" s="204" t="s">
        <v>23</v>
      </c>
      <c r="E131" s="270">
        <f>E129+E130</f>
        <v>115000</v>
      </c>
      <c r="F131" s="270">
        <f>F129+F130</f>
        <v>115000</v>
      </c>
      <c r="G131" s="271">
        <f>G129+G130</f>
        <v>0</v>
      </c>
      <c r="H131" s="158"/>
      <c r="I131" s="1409"/>
      <c r="J131" s="209" t="s">
        <v>23</v>
      </c>
      <c r="K131" s="270">
        <f>K129+K130</f>
        <v>115000</v>
      </c>
      <c r="L131" s="270">
        <f>L129+L130</f>
        <v>115000</v>
      </c>
      <c r="M131" s="270">
        <f>M129+M130</f>
        <v>0</v>
      </c>
      <c r="N131" s="270">
        <f>N129+N130</f>
        <v>0</v>
      </c>
    </row>
    <row r="132" spans="1:14" s="135" customFormat="1" ht="9" hidden="1" customHeight="1">
      <c r="A132" s="181"/>
      <c r="B132" s="182"/>
      <c r="C132" s="243"/>
      <c r="D132" s="244"/>
      <c r="E132" s="245"/>
      <c r="F132" s="185"/>
      <c r="G132" s="186"/>
      <c r="H132" s="158"/>
      <c r="I132" s="246"/>
      <c r="J132" s="247"/>
      <c r="K132" s="245"/>
      <c r="L132" s="248"/>
      <c r="M132" s="248"/>
      <c r="N132" s="248"/>
    </row>
    <row r="133" spans="1:14" ht="13.15" hidden="1" customHeight="1">
      <c r="A133" s="1397"/>
      <c r="B133" s="1397"/>
      <c r="C133" s="1398" t="s">
        <v>423</v>
      </c>
      <c r="D133" s="212" t="s">
        <v>21</v>
      </c>
      <c r="E133" s="213">
        <f>F133+G133</f>
        <v>115000</v>
      </c>
      <c r="F133" s="191">
        <v>115000</v>
      </c>
      <c r="G133" s="192">
        <v>0</v>
      </c>
      <c r="H133" s="158"/>
      <c r="I133" s="1399" t="s">
        <v>8</v>
      </c>
      <c r="J133" s="214" t="s">
        <v>21</v>
      </c>
      <c r="K133" s="213">
        <f>L133+M133+N133</f>
        <v>115000</v>
      </c>
      <c r="L133" s="191">
        <v>115000</v>
      </c>
      <c r="M133" s="191">
        <v>0</v>
      </c>
      <c r="N133" s="191">
        <v>0</v>
      </c>
    </row>
    <row r="134" spans="1:14" hidden="1">
      <c r="A134" s="1397"/>
      <c r="B134" s="1397"/>
      <c r="C134" s="1398"/>
      <c r="D134" s="212" t="s">
        <v>22</v>
      </c>
      <c r="E134" s="213">
        <f>F134+G134</f>
        <v>0</v>
      </c>
      <c r="F134" s="215"/>
      <c r="G134" s="232"/>
      <c r="H134" s="158"/>
      <c r="I134" s="1399"/>
      <c r="J134" s="214" t="s">
        <v>22</v>
      </c>
      <c r="K134" s="213">
        <f>L134+M134+N134</f>
        <v>0</v>
      </c>
      <c r="L134" s="215"/>
      <c r="M134" s="215"/>
      <c r="N134" s="215"/>
    </row>
    <row r="135" spans="1:14" hidden="1">
      <c r="A135" s="1397"/>
      <c r="B135" s="1397"/>
      <c r="C135" s="1398"/>
      <c r="D135" s="212" t="s">
        <v>23</v>
      </c>
      <c r="E135" s="213">
        <f>E133+E134</f>
        <v>115000</v>
      </c>
      <c r="F135" s="213">
        <f>F133+F134</f>
        <v>115000</v>
      </c>
      <c r="G135" s="233">
        <f>G133+G134</f>
        <v>0</v>
      </c>
      <c r="H135" s="158"/>
      <c r="I135" s="1399"/>
      <c r="J135" s="214" t="s">
        <v>23</v>
      </c>
      <c r="K135" s="213">
        <f>K133+K134</f>
        <v>115000</v>
      </c>
      <c r="L135" s="213">
        <f>L133+L134</f>
        <v>115000</v>
      </c>
      <c r="M135" s="213">
        <f>M133+M134</f>
        <v>0</v>
      </c>
      <c r="N135" s="213">
        <f>N133+N134</f>
        <v>0</v>
      </c>
    </row>
    <row r="136" spans="1:14" ht="4.5" hidden="1" customHeight="1">
      <c r="A136" s="234"/>
      <c r="B136" s="254"/>
      <c r="C136" s="255"/>
      <c r="D136" s="212"/>
      <c r="E136" s="213"/>
      <c r="F136" s="256"/>
      <c r="G136" s="257"/>
      <c r="H136" s="158"/>
      <c r="I136" s="258"/>
      <c r="J136" s="214"/>
      <c r="K136" s="213"/>
      <c r="L136" s="215"/>
      <c r="M136" s="215"/>
      <c r="N136" s="215"/>
    </row>
    <row r="137" spans="1:14" s="167" customFormat="1" ht="13.9" hidden="1" customHeight="1">
      <c r="A137" s="1411"/>
      <c r="B137" s="1412" t="s">
        <v>101</v>
      </c>
      <c r="C137" s="1413" t="s">
        <v>102</v>
      </c>
      <c r="D137" s="164" t="s">
        <v>21</v>
      </c>
      <c r="E137" s="31">
        <f t="shared" ref="E137:G138" si="42">E141</f>
        <v>202000</v>
      </c>
      <c r="F137" s="31">
        <f t="shared" si="42"/>
        <v>202000</v>
      </c>
      <c r="G137" s="165">
        <f t="shared" si="42"/>
        <v>0</v>
      </c>
      <c r="H137" s="155"/>
      <c r="I137" s="1414" t="s">
        <v>102</v>
      </c>
      <c r="J137" s="166" t="s">
        <v>21</v>
      </c>
      <c r="K137" s="31">
        <f t="shared" ref="K137:N138" si="43">K141</f>
        <v>202000</v>
      </c>
      <c r="L137" s="31">
        <f t="shared" si="43"/>
        <v>202000</v>
      </c>
      <c r="M137" s="31">
        <f t="shared" si="43"/>
        <v>0</v>
      </c>
      <c r="N137" s="31">
        <f t="shared" si="43"/>
        <v>0</v>
      </c>
    </row>
    <row r="138" spans="1:14" s="167" customFormat="1" ht="14.25" hidden="1">
      <c r="A138" s="1411"/>
      <c r="B138" s="1412"/>
      <c r="C138" s="1413"/>
      <c r="D138" s="168" t="s">
        <v>22</v>
      </c>
      <c r="E138" s="31">
        <f t="shared" si="42"/>
        <v>0</v>
      </c>
      <c r="F138" s="31">
        <f t="shared" si="42"/>
        <v>0</v>
      </c>
      <c r="G138" s="165">
        <f t="shared" si="42"/>
        <v>0</v>
      </c>
      <c r="H138" s="158"/>
      <c r="I138" s="1414"/>
      <c r="J138" s="169" t="s">
        <v>22</v>
      </c>
      <c r="K138" s="31">
        <f t="shared" si="43"/>
        <v>0</v>
      </c>
      <c r="L138" s="31">
        <f t="shared" si="43"/>
        <v>0</v>
      </c>
      <c r="M138" s="31">
        <f t="shared" si="43"/>
        <v>0</v>
      </c>
      <c r="N138" s="31">
        <f t="shared" si="43"/>
        <v>0</v>
      </c>
    </row>
    <row r="139" spans="1:14" s="167" customFormat="1" ht="14.25" hidden="1">
      <c r="A139" s="1411"/>
      <c r="B139" s="1412"/>
      <c r="C139" s="1413"/>
      <c r="D139" s="168" t="s">
        <v>23</v>
      </c>
      <c r="E139" s="250">
        <f>E137+E138</f>
        <v>202000</v>
      </c>
      <c r="F139" s="250">
        <f>F137+F138</f>
        <v>202000</v>
      </c>
      <c r="G139" s="251">
        <f>G137+G138</f>
        <v>0</v>
      </c>
      <c r="H139" s="160"/>
      <c r="I139" s="1414"/>
      <c r="J139" s="169" t="s">
        <v>23</v>
      </c>
      <c r="K139" s="250">
        <f>K137+K138</f>
        <v>202000</v>
      </c>
      <c r="L139" s="250">
        <f>L137+L138</f>
        <v>202000</v>
      </c>
      <c r="M139" s="250">
        <f>M137+M138</f>
        <v>0</v>
      </c>
      <c r="N139" s="250">
        <f>N137+N138</f>
        <v>0</v>
      </c>
    </row>
    <row r="140" spans="1:14" s="135" customFormat="1" ht="4.5" hidden="1" customHeight="1">
      <c r="A140" s="272"/>
      <c r="B140" s="272"/>
      <c r="C140" s="273"/>
      <c r="D140" s="273"/>
      <c r="E140" s="239"/>
      <c r="F140" s="239"/>
      <c r="G140" s="240"/>
      <c r="H140" s="158"/>
      <c r="I140" s="179"/>
      <c r="J140" s="180"/>
      <c r="K140" s="177"/>
      <c r="L140" s="177"/>
      <c r="M140" s="177"/>
      <c r="N140" s="177"/>
    </row>
    <row r="141" spans="1:14" s="135" customFormat="1" ht="13.15" hidden="1" customHeight="1">
      <c r="A141" s="1403"/>
      <c r="B141" s="1404" t="s">
        <v>111</v>
      </c>
      <c r="C141" s="1405" t="s">
        <v>112</v>
      </c>
      <c r="D141" s="183" t="s">
        <v>21</v>
      </c>
      <c r="E141" s="185">
        <f t="shared" ref="E141:G142" si="44">E145</f>
        <v>202000</v>
      </c>
      <c r="F141" s="185">
        <f t="shared" si="44"/>
        <v>202000</v>
      </c>
      <c r="G141" s="186">
        <f t="shared" si="44"/>
        <v>0</v>
      </c>
      <c r="H141" s="158"/>
      <c r="I141" s="1406" t="s">
        <v>112</v>
      </c>
      <c r="J141" s="187" t="s">
        <v>21</v>
      </c>
      <c r="K141" s="185">
        <f t="shared" ref="K141:N142" si="45">K145</f>
        <v>202000</v>
      </c>
      <c r="L141" s="185">
        <f t="shared" si="45"/>
        <v>202000</v>
      </c>
      <c r="M141" s="185">
        <f t="shared" si="45"/>
        <v>0</v>
      </c>
      <c r="N141" s="185">
        <f t="shared" si="45"/>
        <v>0</v>
      </c>
    </row>
    <row r="142" spans="1:14" s="135" customFormat="1" hidden="1">
      <c r="A142" s="1403"/>
      <c r="B142" s="1404"/>
      <c r="C142" s="1405"/>
      <c r="D142" s="183" t="s">
        <v>22</v>
      </c>
      <c r="E142" s="185">
        <f t="shared" si="44"/>
        <v>0</v>
      </c>
      <c r="F142" s="185">
        <f t="shared" si="44"/>
        <v>0</v>
      </c>
      <c r="G142" s="186">
        <f t="shared" si="44"/>
        <v>0</v>
      </c>
      <c r="H142" s="158"/>
      <c r="I142" s="1406"/>
      <c r="J142" s="187" t="s">
        <v>22</v>
      </c>
      <c r="K142" s="185">
        <f t="shared" si="45"/>
        <v>0</v>
      </c>
      <c r="L142" s="185">
        <f t="shared" si="45"/>
        <v>0</v>
      </c>
      <c r="M142" s="185">
        <f t="shared" si="45"/>
        <v>0</v>
      </c>
      <c r="N142" s="185">
        <f t="shared" si="45"/>
        <v>0</v>
      </c>
    </row>
    <row r="143" spans="1:14" s="135" customFormat="1" hidden="1">
      <c r="A143" s="1403"/>
      <c r="B143" s="1404"/>
      <c r="C143" s="1405"/>
      <c r="D143" s="183" t="s">
        <v>23</v>
      </c>
      <c r="E143" s="185">
        <f>E141+E142</f>
        <v>202000</v>
      </c>
      <c r="F143" s="185">
        <f>F141+F142</f>
        <v>202000</v>
      </c>
      <c r="G143" s="186">
        <f>G141+G142</f>
        <v>0</v>
      </c>
      <c r="H143" s="158"/>
      <c r="I143" s="1406"/>
      <c r="J143" s="187" t="s">
        <v>23</v>
      </c>
      <c r="K143" s="185">
        <f>K141+K142</f>
        <v>202000</v>
      </c>
      <c r="L143" s="185">
        <f>L141+L142</f>
        <v>202000</v>
      </c>
      <c r="M143" s="185">
        <f>M141+M142</f>
        <v>0</v>
      </c>
      <c r="N143" s="185">
        <f>N141+N142</f>
        <v>0</v>
      </c>
    </row>
    <row r="144" spans="1:14" ht="4.5" hidden="1" customHeight="1">
      <c r="A144" s="146"/>
      <c r="B144" s="249"/>
      <c r="C144" s="249"/>
      <c r="D144" s="204"/>
      <c r="E144" s="241"/>
      <c r="F144" s="241"/>
      <c r="G144" s="242"/>
      <c r="H144" s="158"/>
      <c r="I144" s="193"/>
      <c r="J144" s="194"/>
      <c r="K144" s="191"/>
      <c r="L144" s="191"/>
      <c r="M144" s="191"/>
      <c r="N144" s="191"/>
    </row>
    <row r="145" spans="1:14" s="200" customFormat="1" ht="13.9" hidden="1" customHeight="1">
      <c r="A145" s="1407">
        <v>3</v>
      </c>
      <c r="B145" s="1408" t="s">
        <v>432</v>
      </c>
      <c r="C145" s="1408"/>
      <c r="D145" s="195" t="s">
        <v>21</v>
      </c>
      <c r="E145" s="197">
        <f t="shared" ref="E145:G146" si="46">E149</f>
        <v>202000</v>
      </c>
      <c r="F145" s="197">
        <f t="shared" si="46"/>
        <v>202000</v>
      </c>
      <c r="G145" s="198">
        <f t="shared" si="46"/>
        <v>0</v>
      </c>
      <c r="H145" s="158"/>
      <c r="I145" s="1409" t="s">
        <v>432</v>
      </c>
      <c r="J145" s="199" t="s">
        <v>21</v>
      </c>
      <c r="K145" s="197">
        <f t="shared" ref="K145:N146" si="47">K149+K153</f>
        <v>202000</v>
      </c>
      <c r="L145" s="197">
        <f t="shared" si="47"/>
        <v>202000</v>
      </c>
      <c r="M145" s="197">
        <f t="shared" si="47"/>
        <v>0</v>
      </c>
      <c r="N145" s="197">
        <f t="shared" si="47"/>
        <v>0</v>
      </c>
    </row>
    <row r="146" spans="1:14" s="200" customFormat="1" ht="13.5" hidden="1">
      <c r="A146" s="1407"/>
      <c r="B146" s="1408"/>
      <c r="C146" s="1408"/>
      <c r="D146" s="195" t="s">
        <v>22</v>
      </c>
      <c r="E146" s="197">
        <f t="shared" si="46"/>
        <v>0</v>
      </c>
      <c r="F146" s="197">
        <f t="shared" si="46"/>
        <v>0</v>
      </c>
      <c r="G146" s="198">
        <f t="shared" si="46"/>
        <v>0</v>
      </c>
      <c r="H146" s="158"/>
      <c r="I146" s="1409"/>
      <c r="J146" s="199" t="s">
        <v>22</v>
      </c>
      <c r="K146" s="197">
        <f t="shared" si="47"/>
        <v>0</v>
      </c>
      <c r="L146" s="197">
        <f t="shared" si="47"/>
        <v>0</v>
      </c>
      <c r="M146" s="197">
        <f t="shared" si="47"/>
        <v>0</v>
      </c>
      <c r="N146" s="197">
        <f t="shared" si="47"/>
        <v>0</v>
      </c>
    </row>
    <row r="147" spans="1:14" s="200" customFormat="1" ht="13.5" hidden="1">
      <c r="A147" s="1407"/>
      <c r="B147" s="1408"/>
      <c r="C147" s="1408"/>
      <c r="D147" s="195" t="s">
        <v>23</v>
      </c>
      <c r="E147" s="197">
        <f>E145+E146</f>
        <v>202000</v>
      </c>
      <c r="F147" s="197">
        <f>F145+F146</f>
        <v>202000</v>
      </c>
      <c r="G147" s="198">
        <f>G145+G146</f>
        <v>0</v>
      </c>
      <c r="H147" s="158"/>
      <c r="I147" s="1409"/>
      <c r="J147" s="199" t="s">
        <v>23</v>
      </c>
      <c r="K147" s="197">
        <f>K145+K146</f>
        <v>202000</v>
      </c>
      <c r="L147" s="197">
        <f>L145+L146</f>
        <v>202000</v>
      </c>
      <c r="M147" s="197">
        <f>M145+M146</f>
        <v>0</v>
      </c>
      <c r="N147" s="197">
        <f>N145+N146</f>
        <v>0</v>
      </c>
    </row>
    <row r="148" spans="1:14" s="135" customFormat="1" ht="4.5" hidden="1" customHeight="1">
      <c r="A148" s="181"/>
      <c r="B148" s="182"/>
      <c r="C148" s="243"/>
      <c r="D148" s="244"/>
      <c r="E148" s="245"/>
      <c r="F148" s="185"/>
      <c r="G148" s="186"/>
      <c r="H148" s="158"/>
      <c r="I148" s="246"/>
      <c r="J148" s="247"/>
      <c r="K148" s="245"/>
      <c r="L148" s="248"/>
      <c r="M148" s="248"/>
      <c r="N148" s="248"/>
    </row>
    <row r="149" spans="1:14" ht="13.15" hidden="1" customHeight="1">
      <c r="A149" s="1397"/>
      <c r="B149" s="1397"/>
      <c r="C149" s="1398" t="s">
        <v>423</v>
      </c>
      <c r="D149" s="212" t="s">
        <v>21</v>
      </c>
      <c r="E149" s="213">
        <f>F149+G149</f>
        <v>202000</v>
      </c>
      <c r="F149" s="191">
        <v>202000</v>
      </c>
      <c r="G149" s="192">
        <v>0</v>
      </c>
      <c r="H149" s="158"/>
      <c r="I149" s="1399" t="s">
        <v>18</v>
      </c>
      <c r="J149" s="214" t="s">
        <v>21</v>
      </c>
      <c r="K149" s="213">
        <f>L149+M149+N149</f>
        <v>101000</v>
      </c>
      <c r="L149" s="191">
        <v>101000</v>
      </c>
      <c r="M149" s="191">
        <v>0</v>
      </c>
      <c r="N149" s="191">
        <v>0</v>
      </c>
    </row>
    <row r="150" spans="1:14" hidden="1">
      <c r="A150" s="1397"/>
      <c r="B150" s="1397"/>
      <c r="C150" s="1398"/>
      <c r="D150" s="212" t="s">
        <v>22</v>
      </c>
      <c r="E150" s="213">
        <f>F150+G150</f>
        <v>0</v>
      </c>
      <c r="F150" s="191"/>
      <c r="G150" s="192"/>
      <c r="H150" s="158"/>
      <c r="I150" s="1399"/>
      <c r="J150" s="214" t="s">
        <v>22</v>
      </c>
      <c r="K150" s="213">
        <f>L150+M150+N150</f>
        <v>0</v>
      </c>
      <c r="L150" s="191"/>
      <c r="M150" s="191"/>
      <c r="N150" s="191"/>
    </row>
    <row r="151" spans="1:14" hidden="1">
      <c r="A151" s="1397"/>
      <c r="B151" s="1397"/>
      <c r="C151" s="1398"/>
      <c r="D151" s="212" t="s">
        <v>23</v>
      </c>
      <c r="E151" s="213">
        <f>E149+E150</f>
        <v>202000</v>
      </c>
      <c r="F151" s="213">
        <f>F149+F150</f>
        <v>202000</v>
      </c>
      <c r="G151" s="233">
        <f>G149+G150</f>
        <v>0</v>
      </c>
      <c r="H151" s="158"/>
      <c r="I151" s="1399"/>
      <c r="J151" s="214" t="s">
        <v>23</v>
      </c>
      <c r="K151" s="213">
        <f>K149+K150</f>
        <v>101000</v>
      </c>
      <c r="L151" s="213">
        <f>L149+L150</f>
        <v>101000</v>
      </c>
      <c r="M151" s="213">
        <f>M149+M150</f>
        <v>0</v>
      </c>
      <c r="N151" s="213">
        <f>N149+N150</f>
        <v>0</v>
      </c>
    </row>
    <row r="152" spans="1:14" ht="4.5" hidden="1" customHeight="1">
      <c r="A152" s="146"/>
      <c r="B152" s="146"/>
      <c r="C152" s="211"/>
      <c r="D152" s="149"/>
      <c r="E152" s="216"/>
      <c r="F152" s="274"/>
      <c r="G152" s="275"/>
      <c r="H152" s="158"/>
      <c r="I152" s="193"/>
      <c r="J152" s="214"/>
      <c r="K152" s="213"/>
      <c r="L152" s="191"/>
      <c r="M152" s="191"/>
      <c r="N152" s="191"/>
    </row>
    <row r="153" spans="1:14" ht="13.15" hidden="1" customHeight="1">
      <c r="A153" s="1397"/>
      <c r="B153" s="1397"/>
      <c r="C153" s="1418" t="s">
        <v>239</v>
      </c>
      <c r="D153" s="1418"/>
      <c r="E153" s="1419" t="s">
        <v>239</v>
      </c>
      <c r="F153" s="1419" t="s">
        <v>239</v>
      </c>
      <c r="G153" s="1410" t="s">
        <v>239</v>
      </c>
      <c r="H153" s="158"/>
      <c r="I153" s="1399" t="s">
        <v>428</v>
      </c>
      <c r="J153" s="214" t="s">
        <v>21</v>
      </c>
      <c r="K153" s="213">
        <f>L153+M153+N153</f>
        <v>101000</v>
      </c>
      <c r="L153" s="191">
        <v>101000</v>
      </c>
      <c r="M153" s="191">
        <v>0</v>
      </c>
      <c r="N153" s="191">
        <v>0</v>
      </c>
    </row>
    <row r="154" spans="1:14" hidden="1">
      <c r="A154" s="1397"/>
      <c r="B154" s="1397"/>
      <c r="C154" s="1418"/>
      <c r="D154" s="1418"/>
      <c r="E154" s="1419"/>
      <c r="F154" s="1419"/>
      <c r="G154" s="1410"/>
      <c r="H154" s="158"/>
      <c r="I154" s="1399"/>
      <c r="J154" s="214" t="s">
        <v>22</v>
      </c>
      <c r="K154" s="213">
        <f>L154+M154+N154</f>
        <v>0</v>
      </c>
      <c r="L154" s="215"/>
      <c r="M154" s="215"/>
      <c r="N154" s="215"/>
    </row>
    <row r="155" spans="1:14" hidden="1">
      <c r="A155" s="1397"/>
      <c r="B155" s="1397"/>
      <c r="C155" s="1418"/>
      <c r="D155" s="1418"/>
      <c r="E155" s="1419"/>
      <c r="F155" s="1419"/>
      <c r="G155" s="1410"/>
      <c r="H155" s="158"/>
      <c r="I155" s="1399"/>
      <c r="J155" s="214" t="s">
        <v>23</v>
      </c>
      <c r="K155" s="213">
        <f>K153+K154</f>
        <v>101000</v>
      </c>
      <c r="L155" s="213">
        <f>L153+L154</f>
        <v>101000</v>
      </c>
      <c r="M155" s="213">
        <f>M153+M154</f>
        <v>0</v>
      </c>
      <c r="N155" s="213">
        <f>N153+N154</f>
        <v>0</v>
      </c>
    </row>
    <row r="156" spans="1:14" hidden="1">
      <c r="A156" s="234"/>
      <c r="B156" s="254"/>
      <c r="C156" s="255"/>
      <c r="D156" s="212"/>
      <c r="E156" s="213"/>
      <c r="F156" s="256"/>
      <c r="G156" s="257"/>
      <c r="H156" s="158"/>
      <c r="I156" s="258"/>
      <c r="J156" s="214"/>
      <c r="K156" s="213"/>
      <c r="L156" s="215"/>
      <c r="M156" s="215"/>
      <c r="N156" s="215"/>
    </row>
    <row r="157" spans="1:14" s="167" customFormat="1" ht="13.9" hidden="1" customHeight="1">
      <c r="A157" s="1411"/>
      <c r="B157" s="1412" t="s">
        <v>114</v>
      </c>
      <c r="C157" s="1413" t="s">
        <v>115</v>
      </c>
      <c r="D157" s="164" t="s">
        <v>21</v>
      </c>
      <c r="E157" s="31">
        <f t="shared" ref="E157:G158" si="48">E161</f>
        <v>5000</v>
      </c>
      <c r="F157" s="31">
        <f t="shared" si="48"/>
        <v>5000</v>
      </c>
      <c r="G157" s="165">
        <f t="shared" si="48"/>
        <v>0</v>
      </c>
      <c r="H157" s="155"/>
      <c r="I157" s="1414" t="s">
        <v>115</v>
      </c>
      <c r="J157" s="166" t="s">
        <v>21</v>
      </c>
      <c r="K157" s="31">
        <f t="shared" ref="K157:N158" si="49">K161</f>
        <v>5000</v>
      </c>
      <c r="L157" s="31">
        <f t="shared" si="49"/>
        <v>5000</v>
      </c>
      <c r="M157" s="31">
        <f t="shared" si="49"/>
        <v>0</v>
      </c>
      <c r="N157" s="31">
        <f t="shared" si="49"/>
        <v>0</v>
      </c>
    </row>
    <row r="158" spans="1:14" s="167" customFormat="1" ht="14.25" hidden="1">
      <c r="A158" s="1411"/>
      <c r="B158" s="1412"/>
      <c r="C158" s="1413"/>
      <c r="D158" s="168" t="s">
        <v>22</v>
      </c>
      <c r="E158" s="31">
        <f t="shared" si="48"/>
        <v>0</v>
      </c>
      <c r="F158" s="31">
        <f t="shared" si="48"/>
        <v>0</v>
      </c>
      <c r="G158" s="165">
        <f t="shared" si="48"/>
        <v>0</v>
      </c>
      <c r="H158" s="158"/>
      <c r="I158" s="1414"/>
      <c r="J158" s="169" t="s">
        <v>22</v>
      </c>
      <c r="K158" s="31">
        <f t="shared" si="49"/>
        <v>0</v>
      </c>
      <c r="L158" s="31">
        <f t="shared" si="49"/>
        <v>0</v>
      </c>
      <c r="M158" s="31">
        <f t="shared" si="49"/>
        <v>0</v>
      </c>
      <c r="N158" s="31">
        <f t="shared" si="49"/>
        <v>0</v>
      </c>
    </row>
    <row r="159" spans="1:14" s="167" customFormat="1" ht="14.25" hidden="1">
      <c r="A159" s="1411"/>
      <c r="B159" s="1412"/>
      <c r="C159" s="1413"/>
      <c r="D159" s="168" t="s">
        <v>23</v>
      </c>
      <c r="E159" s="250">
        <f>E157+E158</f>
        <v>5000</v>
      </c>
      <c r="F159" s="250">
        <f>F157+F158</f>
        <v>5000</v>
      </c>
      <c r="G159" s="251">
        <f>G157+G158</f>
        <v>0</v>
      </c>
      <c r="H159" s="160"/>
      <c r="I159" s="1414"/>
      <c r="J159" s="169" t="s">
        <v>23</v>
      </c>
      <c r="K159" s="250">
        <f>K157+K158</f>
        <v>5000</v>
      </c>
      <c r="L159" s="250">
        <f>L157+L158</f>
        <v>5000</v>
      </c>
      <c r="M159" s="250">
        <f>M157+M158</f>
        <v>0</v>
      </c>
      <c r="N159" s="250">
        <f>N157+N158</f>
        <v>0</v>
      </c>
    </row>
    <row r="160" spans="1:14" hidden="1">
      <c r="A160" s="172"/>
      <c r="B160" s="173"/>
      <c r="C160" s="174"/>
      <c r="D160" s="175"/>
      <c r="E160" s="239"/>
      <c r="F160" s="239"/>
      <c r="G160" s="240"/>
      <c r="H160" s="158"/>
      <c r="I160" s="179"/>
      <c r="J160" s="180"/>
      <c r="K160" s="177"/>
      <c r="L160" s="177"/>
      <c r="M160" s="177"/>
      <c r="N160" s="177"/>
    </row>
    <row r="161" spans="1:14" s="135" customFormat="1" ht="13.15" hidden="1" customHeight="1">
      <c r="A161" s="1403"/>
      <c r="B161" s="1404" t="s">
        <v>116</v>
      </c>
      <c r="C161" s="1423" t="s">
        <v>117</v>
      </c>
      <c r="D161" s="183" t="s">
        <v>21</v>
      </c>
      <c r="E161" s="185">
        <f t="shared" ref="E161:G162" si="50">E165</f>
        <v>5000</v>
      </c>
      <c r="F161" s="185">
        <f t="shared" si="50"/>
        <v>5000</v>
      </c>
      <c r="G161" s="186">
        <f t="shared" si="50"/>
        <v>0</v>
      </c>
      <c r="H161" s="158"/>
      <c r="I161" s="1406" t="s">
        <v>117</v>
      </c>
      <c r="J161" s="187" t="s">
        <v>21</v>
      </c>
      <c r="K161" s="185">
        <f t="shared" ref="K161:N162" si="51">K165</f>
        <v>5000</v>
      </c>
      <c r="L161" s="185">
        <f t="shared" si="51"/>
        <v>5000</v>
      </c>
      <c r="M161" s="185">
        <f t="shared" si="51"/>
        <v>0</v>
      </c>
      <c r="N161" s="185">
        <f t="shared" si="51"/>
        <v>0</v>
      </c>
    </row>
    <row r="162" spans="1:14" s="135" customFormat="1" hidden="1">
      <c r="A162" s="1403"/>
      <c r="B162" s="1404"/>
      <c r="C162" s="1423"/>
      <c r="D162" s="183" t="s">
        <v>22</v>
      </c>
      <c r="E162" s="185">
        <f t="shared" si="50"/>
        <v>0</v>
      </c>
      <c r="F162" s="185">
        <f t="shared" si="50"/>
        <v>0</v>
      </c>
      <c r="G162" s="186">
        <f t="shared" si="50"/>
        <v>0</v>
      </c>
      <c r="H162" s="158"/>
      <c r="I162" s="1406"/>
      <c r="J162" s="187" t="s">
        <v>22</v>
      </c>
      <c r="K162" s="185">
        <f t="shared" si="51"/>
        <v>0</v>
      </c>
      <c r="L162" s="185">
        <f t="shared" si="51"/>
        <v>0</v>
      </c>
      <c r="M162" s="185">
        <f t="shared" si="51"/>
        <v>0</v>
      </c>
      <c r="N162" s="185">
        <f t="shared" si="51"/>
        <v>0</v>
      </c>
    </row>
    <row r="163" spans="1:14" s="135" customFormat="1" hidden="1">
      <c r="A163" s="1403"/>
      <c r="B163" s="1404"/>
      <c r="C163" s="1423"/>
      <c r="D163" s="183" t="s">
        <v>23</v>
      </c>
      <c r="E163" s="185">
        <f>E161+E162</f>
        <v>5000</v>
      </c>
      <c r="F163" s="185">
        <f>F161+F162</f>
        <v>5000</v>
      </c>
      <c r="G163" s="186">
        <f>G161+G162</f>
        <v>0</v>
      </c>
      <c r="H163" s="158"/>
      <c r="I163" s="1406"/>
      <c r="J163" s="187" t="s">
        <v>23</v>
      </c>
      <c r="K163" s="185">
        <f>K161+K162</f>
        <v>5000</v>
      </c>
      <c r="L163" s="185">
        <f>L161+L162</f>
        <v>5000</v>
      </c>
      <c r="M163" s="185">
        <f>M161+M162</f>
        <v>0</v>
      </c>
      <c r="N163" s="185">
        <f>N161+N162</f>
        <v>0</v>
      </c>
    </row>
    <row r="164" spans="1:14" hidden="1">
      <c r="A164" s="146"/>
      <c r="B164" s="189"/>
      <c r="C164" s="148"/>
      <c r="D164" s="149"/>
      <c r="E164" s="241"/>
      <c r="F164" s="241"/>
      <c r="G164" s="242"/>
      <c r="H164" s="158"/>
      <c r="I164" s="193"/>
      <c r="J164" s="194"/>
      <c r="K164" s="191"/>
      <c r="L164" s="191"/>
      <c r="M164" s="191"/>
      <c r="N164" s="191"/>
    </row>
    <row r="165" spans="1:14" s="200" customFormat="1" ht="13.9" hidden="1" customHeight="1">
      <c r="A165" s="1407">
        <v>8</v>
      </c>
      <c r="B165" s="1408" t="s">
        <v>433</v>
      </c>
      <c r="C165" s="1408"/>
      <c r="D165" s="195" t="s">
        <v>21</v>
      </c>
      <c r="E165" s="197">
        <f t="shared" ref="E165:G166" si="52">E169</f>
        <v>5000</v>
      </c>
      <c r="F165" s="197">
        <f t="shared" si="52"/>
        <v>5000</v>
      </c>
      <c r="G165" s="198">
        <f t="shared" si="52"/>
        <v>0</v>
      </c>
      <c r="H165" s="158"/>
      <c r="I165" s="1409" t="s">
        <v>433</v>
      </c>
      <c r="J165" s="199" t="s">
        <v>21</v>
      </c>
      <c r="K165" s="197">
        <f t="shared" ref="K165:N166" si="53">K169</f>
        <v>5000</v>
      </c>
      <c r="L165" s="197">
        <f t="shared" si="53"/>
        <v>5000</v>
      </c>
      <c r="M165" s="197">
        <f t="shared" si="53"/>
        <v>0</v>
      </c>
      <c r="N165" s="197">
        <f t="shared" si="53"/>
        <v>0</v>
      </c>
    </row>
    <row r="166" spans="1:14" s="200" customFormat="1" ht="13.5" hidden="1">
      <c r="A166" s="1407"/>
      <c r="B166" s="1408"/>
      <c r="C166" s="1408"/>
      <c r="D166" s="195" t="s">
        <v>22</v>
      </c>
      <c r="E166" s="197">
        <f t="shared" si="52"/>
        <v>0</v>
      </c>
      <c r="F166" s="197">
        <f t="shared" si="52"/>
        <v>0</v>
      </c>
      <c r="G166" s="198">
        <f t="shared" si="52"/>
        <v>0</v>
      </c>
      <c r="H166" s="158"/>
      <c r="I166" s="1409"/>
      <c r="J166" s="199" t="s">
        <v>22</v>
      </c>
      <c r="K166" s="197">
        <f t="shared" si="53"/>
        <v>0</v>
      </c>
      <c r="L166" s="197">
        <f t="shared" si="53"/>
        <v>0</v>
      </c>
      <c r="M166" s="197">
        <f t="shared" si="53"/>
        <v>0</v>
      </c>
      <c r="N166" s="197">
        <f t="shared" si="53"/>
        <v>0</v>
      </c>
    </row>
    <row r="167" spans="1:14" s="200" customFormat="1" ht="13.5" hidden="1">
      <c r="A167" s="1407"/>
      <c r="B167" s="1408"/>
      <c r="C167" s="1408"/>
      <c r="D167" s="195" t="s">
        <v>23</v>
      </c>
      <c r="E167" s="197">
        <f>E165+E166</f>
        <v>5000</v>
      </c>
      <c r="F167" s="197">
        <f>F165+F166</f>
        <v>5000</v>
      </c>
      <c r="G167" s="198">
        <f>G165+G166</f>
        <v>0</v>
      </c>
      <c r="H167" s="158"/>
      <c r="I167" s="1409"/>
      <c r="J167" s="199" t="s">
        <v>23</v>
      </c>
      <c r="K167" s="197">
        <f>K165+K166</f>
        <v>5000</v>
      </c>
      <c r="L167" s="197">
        <f>L165+L166</f>
        <v>5000</v>
      </c>
      <c r="M167" s="197">
        <f>M165+M166</f>
        <v>0</v>
      </c>
      <c r="N167" s="197">
        <f>N165+N166</f>
        <v>0</v>
      </c>
    </row>
    <row r="168" spans="1:14" s="135" customFormat="1" hidden="1">
      <c r="A168" s="181"/>
      <c r="B168" s="182"/>
      <c r="C168" s="243"/>
      <c r="D168" s="244"/>
      <c r="E168" s="185"/>
      <c r="F168" s="185"/>
      <c r="G168" s="186"/>
      <c r="H168" s="158"/>
      <c r="I168" s="246"/>
      <c r="J168" s="247"/>
      <c r="K168" s="245"/>
      <c r="L168" s="248"/>
      <c r="M168" s="248"/>
      <c r="N168" s="248"/>
    </row>
    <row r="169" spans="1:14" ht="13.15" hidden="1" customHeight="1">
      <c r="A169" s="1397"/>
      <c r="B169" s="1397"/>
      <c r="C169" s="1398" t="s">
        <v>423</v>
      </c>
      <c r="D169" s="149" t="s">
        <v>21</v>
      </c>
      <c r="E169" s="216">
        <f>F169+G169</f>
        <v>5000</v>
      </c>
      <c r="F169" s="191">
        <v>5000</v>
      </c>
      <c r="G169" s="192">
        <v>0</v>
      </c>
      <c r="H169" s="158"/>
      <c r="I169" s="1399" t="s">
        <v>8</v>
      </c>
      <c r="J169" s="194" t="s">
        <v>21</v>
      </c>
      <c r="K169" s="216">
        <f>L169+M169+N169</f>
        <v>5000</v>
      </c>
      <c r="L169" s="191">
        <v>5000</v>
      </c>
      <c r="M169" s="191">
        <v>0</v>
      </c>
      <c r="N169" s="191">
        <v>0</v>
      </c>
    </row>
    <row r="170" spans="1:14" hidden="1">
      <c r="A170" s="1397"/>
      <c r="B170" s="1397"/>
      <c r="C170" s="1398"/>
      <c r="D170" s="212" t="s">
        <v>22</v>
      </c>
      <c r="E170" s="216">
        <f>F170+G170</f>
        <v>0</v>
      </c>
      <c r="F170" s="215"/>
      <c r="G170" s="232"/>
      <c r="H170" s="158"/>
      <c r="I170" s="1399"/>
      <c r="J170" s="214" t="s">
        <v>22</v>
      </c>
      <c r="K170" s="216">
        <f>L170+M170+N170</f>
        <v>0</v>
      </c>
      <c r="L170" s="215"/>
      <c r="M170" s="215"/>
      <c r="N170" s="215"/>
    </row>
    <row r="171" spans="1:14" hidden="1">
      <c r="A171" s="1397"/>
      <c r="B171" s="1397"/>
      <c r="C171" s="1398"/>
      <c r="D171" s="212" t="s">
        <v>23</v>
      </c>
      <c r="E171" s="213">
        <f>E169+E170</f>
        <v>5000</v>
      </c>
      <c r="F171" s="213">
        <f>F169+F170</f>
        <v>5000</v>
      </c>
      <c r="G171" s="233">
        <f>G169+G170</f>
        <v>0</v>
      </c>
      <c r="H171" s="158"/>
      <c r="I171" s="1399"/>
      <c r="J171" s="214" t="s">
        <v>23</v>
      </c>
      <c r="K171" s="213">
        <f>K169+K170</f>
        <v>5000</v>
      </c>
      <c r="L171" s="213">
        <f>L169+L170</f>
        <v>5000</v>
      </c>
      <c r="M171" s="213">
        <f>M169+M170</f>
        <v>0</v>
      </c>
      <c r="N171" s="213">
        <f>N169+N170</f>
        <v>0</v>
      </c>
    </row>
    <row r="172" spans="1:14" ht="4.5" hidden="1" customHeight="1">
      <c r="A172" s="146"/>
      <c r="B172" s="146"/>
      <c r="C172" s="211"/>
      <c r="D172" s="149"/>
      <c r="E172" s="216"/>
      <c r="F172" s="241"/>
      <c r="G172" s="242"/>
      <c r="H172" s="160"/>
      <c r="I172" s="231"/>
      <c r="J172" s="194"/>
      <c r="K172" s="216"/>
      <c r="L172" s="191"/>
      <c r="M172" s="191"/>
      <c r="N172" s="191"/>
    </row>
    <row r="173" spans="1:14" s="167" customFormat="1" ht="13.9" hidden="1" customHeight="1">
      <c r="A173" s="1411"/>
      <c r="B173" s="1412" t="s">
        <v>131</v>
      </c>
      <c r="C173" s="1413" t="s">
        <v>132</v>
      </c>
      <c r="D173" s="164" t="s">
        <v>21</v>
      </c>
      <c r="E173" s="31">
        <f t="shared" ref="E173:G174" si="54">E177</f>
        <v>138951.01</v>
      </c>
      <c r="F173" s="31">
        <f t="shared" si="54"/>
        <v>138951.01</v>
      </c>
      <c r="G173" s="165">
        <f t="shared" si="54"/>
        <v>0</v>
      </c>
      <c r="H173" s="155"/>
      <c r="I173" s="1413" t="s">
        <v>132</v>
      </c>
      <c r="J173" s="166" t="s">
        <v>21</v>
      </c>
      <c r="K173" s="31">
        <f t="shared" ref="K173:N174" si="55">K177</f>
        <v>139048.01</v>
      </c>
      <c r="L173" s="31">
        <f t="shared" si="55"/>
        <v>138951.01</v>
      </c>
      <c r="M173" s="31">
        <f t="shared" si="55"/>
        <v>0</v>
      </c>
      <c r="N173" s="31">
        <f t="shared" si="55"/>
        <v>97</v>
      </c>
    </row>
    <row r="174" spans="1:14" s="167" customFormat="1" ht="14.25" hidden="1">
      <c r="A174" s="1411"/>
      <c r="B174" s="1412"/>
      <c r="C174" s="1413"/>
      <c r="D174" s="168" t="s">
        <v>22</v>
      </c>
      <c r="E174" s="31">
        <f t="shared" si="54"/>
        <v>0</v>
      </c>
      <c r="F174" s="31">
        <f t="shared" si="54"/>
        <v>0</v>
      </c>
      <c r="G174" s="165">
        <f t="shared" si="54"/>
        <v>0</v>
      </c>
      <c r="H174" s="158"/>
      <c r="I174" s="1413"/>
      <c r="J174" s="169" t="s">
        <v>22</v>
      </c>
      <c r="K174" s="31">
        <f t="shared" si="55"/>
        <v>0</v>
      </c>
      <c r="L174" s="31">
        <f t="shared" si="55"/>
        <v>0</v>
      </c>
      <c r="M174" s="31">
        <f t="shared" si="55"/>
        <v>0</v>
      </c>
      <c r="N174" s="31">
        <f t="shared" si="55"/>
        <v>0</v>
      </c>
    </row>
    <row r="175" spans="1:14" s="167" customFormat="1" ht="14.25" hidden="1">
      <c r="A175" s="1411"/>
      <c r="B175" s="1412"/>
      <c r="C175" s="1413"/>
      <c r="D175" s="168" t="s">
        <v>23</v>
      </c>
      <c r="E175" s="250">
        <f>E173+E174</f>
        <v>138951.01</v>
      </c>
      <c r="F175" s="250">
        <f>F173+F174</f>
        <v>138951.01</v>
      </c>
      <c r="G175" s="251">
        <f>G173+G174</f>
        <v>0</v>
      </c>
      <c r="H175" s="160"/>
      <c r="I175" s="1413"/>
      <c r="J175" s="169" t="s">
        <v>23</v>
      </c>
      <c r="K175" s="250">
        <f>K173+K174</f>
        <v>139048.01</v>
      </c>
      <c r="L175" s="250">
        <f>L173+L174</f>
        <v>138951.01</v>
      </c>
      <c r="M175" s="250">
        <f>M173+M174</f>
        <v>0</v>
      </c>
      <c r="N175" s="250">
        <f>N173+N174</f>
        <v>97</v>
      </c>
    </row>
    <row r="176" spans="1:14" ht="4.5" hidden="1" customHeight="1">
      <c r="A176" s="172"/>
      <c r="B176" s="173"/>
      <c r="C176" s="174"/>
      <c r="D176" s="175"/>
      <c r="E176" s="239"/>
      <c r="F176" s="239"/>
      <c r="G176" s="240"/>
      <c r="H176" s="158"/>
      <c r="I176" s="179"/>
      <c r="J176" s="180"/>
      <c r="K176" s="177"/>
      <c r="L176" s="177"/>
      <c r="M176" s="177"/>
      <c r="N176" s="177"/>
    </row>
    <row r="177" spans="1:14" s="135" customFormat="1" ht="13.15" hidden="1" customHeight="1">
      <c r="A177" s="1403"/>
      <c r="B177" s="1404" t="s">
        <v>434</v>
      </c>
      <c r="C177" s="1423" t="s">
        <v>156</v>
      </c>
      <c r="D177" s="183" t="s">
        <v>21</v>
      </c>
      <c r="E177" s="185">
        <f t="shared" ref="E177:G178" si="56">E181</f>
        <v>138951.01</v>
      </c>
      <c r="F177" s="185">
        <f t="shared" si="56"/>
        <v>138951.01</v>
      </c>
      <c r="G177" s="186">
        <f t="shared" si="56"/>
        <v>0</v>
      </c>
      <c r="H177" s="158"/>
      <c r="I177" s="1423" t="s">
        <v>156</v>
      </c>
      <c r="J177" s="187" t="s">
        <v>21</v>
      </c>
      <c r="K177" s="185">
        <f t="shared" ref="K177:N178" si="57">K181</f>
        <v>139048.01</v>
      </c>
      <c r="L177" s="185">
        <f t="shared" si="57"/>
        <v>138951.01</v>
      </c>
      <c r="M177" s="185">
        <f t="shared" si="57"/>
        <v>0</v>
      </c>
      <c r="N177" s="185">
        <f t="shared" si="57"/>
        <v>97</v>
      </c>
    </row>
    <row r="178" spans="1:14" s="135" customFormat="1" hidden="1">
      <c r="A178" s="1403"/>
      <c r="B178" s="1404"/>
      <c r="C178" s="1423"/>
      <c r="D178" s="183" t="s">
        <v>22</v>
      </c>
      <c r="E178" s="185">
        <f t="shared" si="56"/>
        <v>0</v>
      </c>
      <c r="F178" s="185">
        <f t="shared" si="56"/>
        <v>0</v>
      </c>
      <c r="G178" s="186">
        <f t="shared" si="56"/>
        <v>0</v>
      </c>
      <c r="H178" s="158"/>
      <c r="I178" s="1423"/>
      <c r="J178" s="187" t="s">
        <v>22</v>
      </c>
      <c r="K178" s="185">
        <f t="shared" si="57"/>
        <v>0</v>
      </c>
      <c r="L178" s="185">
        <f t="shared" si="57"/>
        <v>0</v>
      </c>
      <c r="M178" s="185">
        <f t="shared" si="57"/>
        <v>0</v>
      </c>
      <c r="N178" s="185">
        <f t="shared" si="57"/>
        <v>0</v>
      </c>
    </row>
    <row r="179" spans="1:14" s="135" customFormat="1" hidden="1">
      <c r="A179" s="1403"/>
      <c r="B179" s="1404"/>
      <c r="C179" s="1423"/>
      <c r="D179" s="244" t="s">
        <v>23</v>
      </c>
      <c r="E179" s="185">
        <f>E177+E178</f>
        <v>138951.01</v>
      </c>
      <c r="F179" s="185">
        <f>F177+F178</f>
        <v>138951.01</v>
      </c>
      <c r="G179" s="186">
        <f>G177+G178</f>
        <v>0</v>
      </c>
      <c r="H179" s="160"/>
      <c r="I179" s="1423"/>
      <c r="J179" s="247" t="s">
        <v>23</v>
      </c>
      <c r="K179" s="185">
        <f>K177+K178</f>
        <v>139048.01</v>
      </c>
      <c r="L179" s="185">
        <f>L177+L178</f>
        <v>138951.01</v>
      </c>
      <c r="M179" s="185">
        <f>M177+M178</f>
        <v>0</v>
      </c>
      <c r="N179" s="185">
        <f>N177+N178</f>
        <v>97</v>
      </c>
    </row>
    <row r="180" spans="1:14" ht="4.5" hidden="1" customHeight="1">
      <c r="A180" s="146"/>
      <c r="B180" s="189"/>
      <c r="C180" s="148"/>
      <c r="D180" s="149"/>
      <c r="E180" s="241"/>
      <c r="F180" s="241"/>
      <c r="G180" s="242"/>
      <c r="H180" s="155"/>
      <c r="I180" s="193"/>
      <c r="J180" s="194"/>
      <c r="K180" s="191"/>
      <c r="L180" s="191"/>
      <c r="M180" s="191"/>
      <c r="N180" s="191"/>
    </row>
    <row r="181" spans="1:14" s="200" customFormat="1" ht="13.9" hidden="1" customHeight="1">
      <c r="A181" s="1407">
        <v>4</v>
      </c>
      <c r="B181" s="1408" t="s">
        <v>435</v>
      </c>
      <c r="C181" s="1408"/>
      <c r="D181" s="195" t="s">
        <v>21</v>
      </c>
      <c r="E181" s="197">
        <f t="shared" ref="E181:G182" si="58">E185</f>
        <v>138951.01</v>
      </c>
      <c r="F181" s="197">
        <f t="shared" si="58"/>
        <v>138951.01</v>
      </c>
      <c r="G181" s="198">
        <f t="shared" si="58"/>
        <v>0</v>
      </c>
      <c r="H181" s="158"/>
      <c r="I181" s="1409" t="s">
        <v>435</v>
      </c>
      <c r="J181" s="199" t="s">
        <v>21</v>
      </c>
      <c r="K181" s="197">
        <f t="shared" ref="K181:N182" si="59">K185</f>
        <v>139048.01</v>
      </c>
      <c r="L181" s="197">
        <f t="shared" si="59"/>
        <v>138951.01</v>
      </c>
      <c r="M181" s="197">
        <f t="shared" si="59"/>
        <v>0</v>
      </c>
      <c r="N181" s="197">
        <f t="shared" si="59"/>
        <v>97</v>
      </c>
    </row>
    <row r="182" spans="1:14" s="200" customFormat="1" ht="13.5" hidden="1">
      <c r="A182" s="1407"/>
      <c r="B182" s="1408"/>
      <c r="C182" s="1408"/>
      <c r="D182" s="195" t="s">
        <v>22</v>
      </c>
      <c r="E182" s="197">
        <f t="shared" si="58"/>
        <v>0</v>
      </c>
      <c r="F182" s="197">
        <f t="shared" si="58"/>
        <v>0</v>
      </c>
      <c r="G182" s="198">
        <f t="shared" si="58"/>
        <v>0</v>
      </c>
      <c r="H182" s="158"/>
      <c r="I182" s="1409"/>
      <c r="J182" s="199" t="s">
        <v>22</v>
      </c>
      <c r="K182" s="197">
        <f t="shared" si="59"/>
        <v>0</v>
      </c>
      <c r="L182" s="197">
        <f t="shared" si="59"/>
        <v>0</v>
      </c>
      <c r="M182" s="197">
        <f t="shared" si="59"/>
        <v>0</v>
      </c>
      <c r="N182" s="197">
        <f t="shared" si="59"/>
        <v>0</v>
      </c>
    </row>
    <row r="183" spans="1:14" s="200" customFormat="1" ht="13.5" hidden="1">
      <c r="A183" s="1407"/>
      <c r="B183" s="1408"/>
      <c r="C183" s="1408"/>
      <c r="D183" s="195" t="s">
        <v>23</v>
      </c>
      <c r="E183" s="197">
        <f>E181+E182</f>
        <v>138951.01</v>
      </c>
      <c r="F183" s="197">
        <f>F181+F182</f>
        <v>138951.01</v>
      </c>
      <c r="G183" s="198">
        <f>G181+G182</f>
        <v>0</v>
      </c>
      <c r="H183" s="158"/>
      <c r="I183" s="1409"/>
      <c r="J183" s="199" t="s">
        <v>23</v>
      </c>
      <c r="K183" s="197">
        <f>K181+K182</f>
        <v>139048.01</v>
      </c>
      <c r="L183" s="197">
        <f>L181+L182</f>
        <v>138951.01</v>
      </c>
      <c r="M183" s="197">
        <f>M181+M182</f>
        <v>0</v>
      </c>
      <c r="N183" s="197">
        <f>N181+N182</f>
        <v>97</v>
      </c>
    </row>
    <row r="184" spans="1:14" s="135" customFormat="1" ht="4.5" hidden="1" customHeight="1">
      <c r="A184" s="181"/>
      <c r="B184" s="182"/>
      <c r="C184" s="243"/>
      <c r="D184" s="244"/>
      <c r="E184" s="185"/>
      <c r="F184" s="185"/>
      <c r="G184" s="186"/>
      <c r="H184" s="158"/>
      <c r="I184" s="246"/>
      <c r="J184" s="247"/>
      <c r="K184" s="245"/>
      <c r="L184" s="248"/>
      <c r="M184" s="248"/>
      <c r="N184" s="248"/>
    </row>
    <row r="185" spans="1:14" ht="13.15" hidden="1" customHeight="1">
      <c r="A185" s="1397"/>
      <c r="B185" s="1397"/>
      <c r="C185" s="1398" t="s">
        <v>423</v>
      </c>
      <c r="D185" s="149" t="s">
        <v>21</v>
      </c>
      <c r="E185" s="216">
        <f>F185+G185</f>
        <v>138951.01</v>
      </c>
      <c r="F185" s="191">
        <v>138951.01</v>
      </c>
      <c r="G185" s="192">
        <v>0</v>
      </c>
      <c r="H185" s="158"/>
      <c r="I185" s="1399" t="s">
        <v>8</v>
      </c>
      <c r="J185" s="194" t="s">
        <v>21</v>
      </c>
      <c r="K185" s="216">
        <f>L185+M185+N185</f>
        <v>139048.01</v>
      </c>
      <c r="L185" s="191">
        <v>138951.01</v>
      </c>
      <c r="M185" s="191">
        <v>0</v>
      </c>
      <c r="N185" s="191">
        <v>97</v>
      </c>
    </row>
    <row r="186" spans="1:14" hidden="1">
      <c r="A186" s="1397"/>
      <c r="B186" s="1397"/>
      <c r="C186" s="1398"/>
      <c r="D186" s="212" t="s">
        <v>22</v>
      </c>
      <c r="E186" s="216">
        <f>F186+G186</f>
        <v>0</v>
      </c>
      <c r="F186" s="215"/>
      <c r="G186" s="232"/>
      <c r="H186" s="158"/>
      <c r="I186" s="1399"/>
      <c r="J186" s="214" t="s">
        <v>22</v>
      </c>
      <c r="K186" s="216">
        <f>L186+M186+N186</f>
        <v>0</v>
      </c>
      <c r="L186" s="215"/>
      <c r="M186" s="215"/>
      <c r="N186" s="215"/>
    </row>
    <row r="187" spans="1:14" hidden="1">
      <c r="A187" s="1397"/>
      <c r="B187" s="1397"/>
      <c r="C187" s="1398"/>
      <c r="D187" s="212" t="s">
        <v>23</v>
      </c>
      <c r="E187" s="213">
        <f>E185+E186</f>
        <v>138951.01</v>
      </c>
      <c r="F187" s="213">
        <f>F185+F186</f>
        <v>138951.01</v>
      </c>
      <c r="G187" s="233">
        <f>G185+G186</f>
        <v>0</v>
      </c>
      <c r="H187" s="158"/>
      <c r="I187" s="1399"/>
      <c r="J187" s="214" t="s">
        <v>23</v>
      </c>
      <c r="K187" s="213">
        <f>K185+K186</f>
        <v>139048.01</v>
      </c>
      <c r="L187" s="213">
        <f>L185+L186</f>
        <v>138951.01</v>
      </c>
      <c r="M187" s="213">
        <f>M185+M186</f>
        <v>0</v>
      </c>
      <c r="N187" s="213">
        <f>N185+N186</f>
        <v>97</v>
      </c>
    </row>
    <row r="188" spans="1:14" hidden="1">
      <c r="A188" s="234"/>
      <c r="B188" s="234"/>
      <c r="C188" s="235"/>
      <c r="D188" s="212"/>
      <c r="E188" s="213"/>
      <c r="F188" s="256"/>
      <c r="G188" s="257"/>
      <c r="H188" s="158"/>
      <c r="I188" s="238"/>
      <c r="J188" s="214"/>
      <c r="K188" s="213"/>
      <c r="L188" s="215"/>
      <c r="M188" s="215"/>
      <c r="N188" s="215"/>
    </row>
    <row r="189" spans="1:14" s="167" customFormat="1" ht="13.9" customHeight="1">
      <c r="A189" s="1411"/>
      <c r="B189" s="1412" t="s">
        <v>158</v>
      </c>
      <c r="C189" s="1413" t="s">
        <v>159</v>
      </c>
      <c r="D189" s="164" t="s">
        <v>21</v>
      </c>
      <c r="E189" s="31">
        <f t="shared" ref="E189:G190" si="60">E229+E241+E209+E221+E197</f>
        <v>4980739</v>
      </c>
      <c r="F189" s="31">
        <f t="shared" si="60"/>
        <v>4980739</v>
      </c>
      <c r="G189" s="31">
        <f t="shared" si="60"/>
        <v>0</v>
      </c>
      <c r="H189" s="155"/>
      <c r="I189" s="1414" t="s">
        <v>159</v>
      </c>
      <c r="J189" s="166" t="s">
        <v>21</v>
      </c>
      <c r="K189" s="31">
        <f t="shared" ref="K189:N190" si="61">K229+K241+K209+K221+K197</f>
        <v>4980739</v>
      </c>
      <c r="L189" s="31">
        <f t="shared" si="61"/>
        <v>4980739</v>
      </c>
      <c r="M189" s="31">
        <f t="shared" si="61"/>
        <v>0</v>
      </c>
      <c r="N189" s="31">
        <f t="shared" si="61"/>
        <v>0</v>
      </c>
    </row>
    <row r="190" spans="1:14" s="167" customFormat="1" ht="14.25">
      <c r="A190" s="1411"/>
      <c r="B190" s="1412"/>
      <c r="C190" s="1413"/>
      <c r="D190" s="168" t="s">
        <v>22</v>
      </c>
      <c r="E190" s="31">
        <f t="shared" si="60"/>
        <v>1482360</v>
      </c>
      <c r="F190" s="31">
        <f t="shared" si="60"/>
        <v>1482360</v>
      </c>
      <c r="G190" s="31">
        <f t="shared" si="60"/>
        <v>0</v>
      </c>
      <c r="H190" s="158"/>
      <c r="I190" s="1414"/>
      <c r="J190" s="169" t="s">
        <v>22</v>
      </c>
      <c r="K190" s="31">
        <f t="shared" si="61"/>
        <v>1482360</v>
      </c>
      <c r="L190" s="31">
        <f t="shared" si="61"/>
        <v>1482360</v>
      </c>
      <c r="M190" s="31">
        <f t="shared" si="61"/>
        <v>0</v>
      </c>
      <c r="N190" s="31">
        <f t="shared" si="61"/>
        <v>0</v>
      </c>
    </row>
    <row r="191" spans="1:14" s="167" customFormat="1" ht="14.25">
      <c r="A191" s="1411"/>
      <c r="B191" s="1412"/>
      <c r="C191" s="1413"/>
      <c r="D191" s="168" t="s">
        <v>23</v>
      </c>
      <c r="E191" s="250">
        <f>E189+E190</f>
        <v>6463099</v>
      </c>
      <c r="F191" s="250">
        <f>F189+F190</f>
        <v>6463099</v>
      </c>
      <c r="G191" s="251">
        <f>G189+G190</f>
        <v>0</v>
      </c>
      <c r="H191" s="160"/>
      <c r="I191" s="1414"/>
      <c r="J191" s="169" t="s">
        <v>23</v>
      </c>
      <c r="K191" s="250">
        <f>K189+K190</f>
        <v>6463099</v>
      </c>
      <c r="L191" s="250">
        <f>L189+L190</f>
        <v>6463099</v>
      </c>
      <c r="M191" s="250">
        <f>M189+M190</f>
        <v>0</v>
      </c>
      <c r="N191" s="250">
        <f>N189+N190</f>
        <v>0</v>
      </c>
    </row>
    <row r="192" spans="1:14" s="167" customFormat="1" ht="4.9000000000000004" customHeight="1">
      <c r="A192" s="276"/>
      <c r="B192" s="277"/>
      <c r="C192" s="278"/>
      <c r="D192" s="168"/>
      <c r="E192" s="250"/>
      <c r="F192" s="250"/>
      <c r="G192" s="251"/>
      <c r="H192" s="158"/>
      <c r="I192" s="279"/>
      <c r="J192" s="169"/>
      <c r="K192" s="250"/>
      <c r="L192" s="250"/>
      <c r="M192" s="250"/>
      <c r="N192" s="250"/>
    </row>
    <row r="193" spans="1:14" s="200" customFormat="1" ht="13.9" customHeight="1">
      <c r="A193" s="1407">
        <v>2</v>
      </c>
      <c r="B193" s="1408" t="s">
        <v>436</v>
      </c>
      <c r="C193" s="1408"/>
      <c r="D193" s="195" t="s">
        <v>21</v>
      </c>
      <c r="E193" s="197">
        <f t="shared" ref="E193:G194" si="62">E201</f>
        <v>0</v>
      </c>
      <c r="F193" s="197">
        <f t="shared" si="62"/>
        <v>0</v>
      </c>
      <c r="G193" s="197">
        <f t="shared" si="62"/>
        <v>0</v>
      </c>
      <c r="H193" s="158"/>
      <c r="I193" s="1409" t="s">
        <v>437</v>
      </c>
      <c r="J193" s="199" t="s">
        <v>21</v>
      </c>
      <c r="K193" s="197">
        <f t="shared" ref="K193:N194" si="63">K201</f>
        <v>0</v>
      </c>
      <c r="L193" s="197">
        <f t="shared" si="63"/>
        <v>0</v>
      </c>
      <c r="M193" s="197">
        <f t="shared" si="63"/>
        <v>0</v>
      </c>
      <c r="N193" s="197">
        <f t="shared" si="63"/>
        <v>0</v>
      </c>
    </row>
    <row r="194" spans="1:14" s="200" customFormat="1" ht="13.5">
      <c r="A194" s="1407"/>
      <c r="B194" s="1408"/>
      <c r="C194" s="1408"/>
      <c r="D194" s="195" t="s">
        <v>22</v>
      </c>
      <c r="E194" s="197">
        <f t="shared" si="62"/>
        <v>1482360</v>
      </c>
      <c r="F194" s="197">
        <f t="shared" si="62"/>
        <v>1482360</v>
      </c>
      <c r="G194" s="197">
        <f t="shared" si="62"/>
        <v>0</v>
      </c>
      <c r="H194" s="158"/>
      <c r="I194" s="1409"/>
      <c r="J194" s="199" t="s">
        <v>22</v>
      </c>
      <c r="K194" s="197">
        <f t="shared" si="63"/>
        <v>1482360</v>
      </c>
      <c r="L194" s="197">
        <f t="shared" si="63"/>
        <v>1482360</v>
      </c>
      <c r="M194" s="197">
        <f t="shared" si="63"/>
        <v>0</v>
      </c>
      <c r="N194" s="197">
        <f t="shared" si="63"/>
        <v>0</v>
      </c>
    </row>
    <row r="195" spans="1:14" s="200" customFormat="1" ht="13.5">
      <c r="A195" s="1407"/>
      <c r="B195" s="1408"/>
      <c r="C195" s="1408"/>
      <c r="D195" s="195" t="s">
        <v>23</v>
      </c>
      <c r="E195" s="197">
        <f>E193+E194</f>
        <v>1482360</v>
      </c>
      <c r="F195" s="197">
        <f>F193+F194</f>
        <v>1482360</v>
      </c>
      <c r="G195" s="198">
        <f>G193+G194</f>
        <v>0</v>
      </c>
      <c r="H195" s="158"/>
      <c r="I195" s="1409"/>
      <c r="J195" s="199" t="s">
        <v>23</v>
      </c>
      <c r="K195" s="197">
        <f>K193+K194</f>
        <v>1482360</v>
      </c>
      <c r="L195" s="197">
        <f>L193+L194</f>
        <v>1482360</v>
      </c>
      <c r="M195" s="197">
        <f>M193+M194</f>
        <v>0</v>
      </c>
      <c r="N195" s="197">
        <f>N193+N194</f>
        <v>0</v>
      </c>
    </row>
    <row r="196" spans="1:14" s="135" customFormat="1" ht="4.9000000000000004" customHeight="1">
      <c r="A196" s="181"/>
      <c r="B196" s="182"/>
      <c r="C196" s="243"/>
      <c r="D196" s="244"/>
      <c r="E196" s="185"/>
      <c r="F196" s="185"/>
      <c r="G196" s="186"/>
      <c r="H196" s="158"/>
      <c r="I196" s="246"/>
      <c r="J196" s="247"/>
      <c r="K196" s="245"/>
      <c r="L196" s="248"/>
      <c r="M196" s="248"/>
      <c r="N196" s="248"/>
    </row>
    <row r="197" spans="1:14" s="135" customFormat="1" ht="13.15" customHeight="1">
      <c r="A197" s="1403"/>
      <c r="B197" s="1404" t="s">
        <v>261</v>
      </c>
      <c r="C197" s="1405" t="s">
        <v>160</v>
      </c>
      <c r="D197" s="183" t="s">
        <v>21</v>
      </c>
      <c r="E197" s="185">
        <f t="shared" ref="E197:G198" si="64">E201</f>
        <v>0</v>
      </c>
      <c r="F197" s="185">
        <f t="shared" si="64"/>
        <v>0</v>
      </c>
      <c r="G197" s="186">
        <f t="shared" si="64"/>
        <v>0</v>
      </c>
      <c r="H197" s="158"/>
      <c r="I197" s="1423" t="s">
        <v>160</v>
      </c>
      <c r="J197" s="187" t="s">
        <v>21</v>
      </c>
      <c r="K197" s="185">
        <f t="shared" ref="K197:N198" si="65">K201</f>
        <v>0</v>
      </c>
      <c r="L197" s="185">
        <f t="shared" si="65"/>
        <v>0</v>
      </c>
      <c r="M197" s="185">
        <f t="shared" si="65"/>
        <v>0</v>
      </c>
      <c r="N197" s="185">
        <f t="shared" si="65"/>
        <v>0</v>
      </c>
    </row>
    <row r="198" spans="1:14" s="135" customFormat="1">
      <c r="A198" s="1403"/>
      <c r="B198" s="1404"/>
      <c r="C198" s="1405"/>
      <c r="D198" s="183" t="s">
        <v>22</v>
      </c>
      <c r="E198" s="185">
        <f t="shared" si="64"/>
        <v>1482360</v>
      </c>
      <c r="F198" s="185">
        <f t="shared" si="64"/>
        <v>1482360</v>
      </c>
      <c r="G198" s="186">
        <f t="shared" si="64"/>
        <v>0</v>
      </c>
      <c r="H198" s="158"/>
      <c r="I198" s="1423"/>
      <c r="J198" s="187" t="s">
        <v>22</v>
      </c>
      <c r="K198" s="185">
        <f t="shared" si="65"/>
        <v>1482360</v>
      </c>
      <c r="L198" s="185">
        <f t="shared" si="65"/>
        <v>1482360</v>
      </c>
      <c r="M198" s="185">
        <f t="shared" si="65"/>
        <v>0</v>
      </c>
      <c r="N198" s="185">
        <f t="shared" si="65"/>
        <v>0</v>
      </c>
    </row>
    <row r="199" spans="1:14" s="135" customFormat="1">
      <c r="A199" s="1403"/>
      <c r="B199" s="1404"/>
      <c r="C199" s="1405"/>
      <c r="D199" s="244" t="s">
        <v>23</v>
      </c>
      <c r="E199" s="185">
        <f>E197+E198</f>
        <v>1482360</v>
      </c>
      <c r="F199" s="185">
        <f>F197+F198</f>
        <v>1482360</v>
      </c>
      <c r="G199" s="186">
        <f>G197+G198</f>
        <v>0</v>
      </c>
      <c r="H199" s="358"/>
      <c r="I199" s="1431"/>
      <c r="J199" s="247" t="s">
        <v>23</v>
      </c>
      <c r="K199" s="185">
        <f>K197+K198</f>
        <v>1482360</v>
      </c>
      <c r="L199" s="185">
        <f>L197+L198</f>
        <v>1482360</v>
      </c>
      <c r="M199" s="185">
        <f>M197+M198</f>
        <v>0</v>
      </c>
      <c r="N199" s="185">
        <f>N197+N198</f>
        <v>0</v>
      </c>
    </row>
    <row r="200" spans="1:14" s="135" customFormat="1" ht="4.9000000000000004" customHeight="1">
      <c r="A200" s="181"/>
      <c r="B200" s="182"/>
      <c r="C200" s="243"/>
      <c r="D200" s="244"/>
      <c r="E200" s="185"/>
      <c r="F200" s="185"/>
      <c r="G200" s="186"/>
      <c r="H200" s="158"/>
      <c r="I200" s="246"/>
      <c r="J200" s="247"/>
      <c r="K200" s="245"/>
      <c r="L200" s="248"/>
      <c r="M200" s="248"/>
      <c r="N200" s="248"/>
    </row>
    <row r="201" spans="1:14" ht="13.15" customHeight="1">
      <c r="A201" s="1397"/>
      <c r="B201" s="1397"/>
      <c r="C201" s="1398" t="s">
        <v>438</v>
      </c>
      <c r="D201" s="149" t="s">
        <v>21</v>
      </c>
      <c r="E201" s="216">
        <f>F201+G201</f>
        <v>0</v>
      </c>
      <c r="F201" s="191">
        <v>0</v>
      </c>
      <c r="G201" s="191">
        <v>0</v>
      </c>
      <c r="H201" s="158"/>
      <c r="I201" s="1396" t="s">
        <v>439</v>
      </c>
      <c r="J201" s="194" t="s">
        <v>21</v>
      </c>
      <c r="K201" s="216">
        <f>L201+M201+N201</f>
        <v>0</v>
      </c>
      <c r="L201" s="191">
        <v>0</v>
      </c>
      <c r="M201" s="191">
        <v>0</v>
      </c>
      <c r="N201" s="191">
        <v>0</v>
      </c>
    </row>
    <row r="202" spans="1:14">
      <c r="A202" s="1397"/>
      <c r="B202" s="1397"/>
      <c r="C202" s="1398"/>
      <c r="D202" s="212" t="s">
        <v>22</v>
      </c>
      <c r="E202" s="216">
        <f>F202+G202</f>
        <v>1482360</v>
      </c>
      <c r="F202" s="215">
        <v>1482360</v>
      </c>
      <c r="G202" s="215"/>
      <c r="H202" s="158"/>
      <c r="I202" s="1396"/>
      <c r="J202" s="214" t="s">
        <v>22</v>
      </c>
      <c r="K202" s="216">
        <f>L202+M202+N202</f>
        <v>1482360</v>
      </c>
      <c r="L202" s="215">
        <v>1482360</v>
      </c>
      <c r="M202" s="215"/>
      <c r="N202" s="215"/>
    </row>
    <row r="203" spans="1:14">
      <c r="A203" s="1420"/>
      <c r="B203" s="1420"/>
      <c r="C203" s="1421"/>
      <c r="D203" s="359" t="s">
        <v>23</v>
      </c>
      <c r="E203" s="360">
        <f>E201+E202</f>
        <v>1482360</v>
      </c>
      <c r="F203" s="360">
        <f>F201+F202</f>
        <v>1482360</v>
      </c>
      <c r="G203" s="360">
        <f>G201+G202</f>
        <v>0</v>
      </c>
      <c r="H203" s="158"/>
      <c r="I203" s="1422"/>
      <c r="J203" s="361" t="s">
        <v>23</v>
      </c>
      <c r="K203" s="360">
        <f>K201+K202</f>
        <v>1482360</v>
      </c>
      <c r="L203" s="360">
        <f>L201+L202</f>
        <v>1482360</v>
      </c>
      <c r="M203" s="360">
        <f>M201+M202</f>
        <v>0</v>
      </c>
      <c r="N203" s="360">
        <f>N201+N202</f>
        <v>0</v>
      </c>
    </row>
    <row r="204" spans="1:14" s="167" customFormat="1" ht="4.9000000000000004" customHeight="1">
      <c r="A204" s="276"/>
      <c r="B204" s="277"/>
      <c r="C204" s="278"/>
      <c r="D204" s="168"/>
      <c r="E204" s="250"/>
      <c r="F204" s="250"/>
      <c r="G204" s="251"/>
      <c r="H204" s="158"/>
      <c r="I204" s="279"/>
      <c r="J204" s="169"/>
      <c r="K204" s="250"/>
      <c r="L204" s="250"/>
      <c r="M204" s="250"/>
      <c r="N204" s="250"/>
    </row>
    <row r="205" spans="1:14" s="200" customFormat="1" ht="20.45" hidden="1" customHeight="1">
      <c r="A205" s="1407">
        <v>1</v>
      </c>
      <c r="B205" s="1408" t="s">
        <v>440</v>
      </c>
      <c r="C205" s="1408"/>
      <c r="D205" s="195" t="s">
        <v>21</v>
      </c>
      <c r="E205" s="197">
        <f t="shared" ref="E205:G206" si="66">E209+E221</f>
        <v>4944739</v>
      </c>
      <c r="F205" s="197">
        <f t="shared" si="66"/>
        <v>4944739</v>
      </c>
      <c r="G205" s="197">
        <f t="shared" si="66"/>
        <v>0</v>
      </c>
      <c r="H205" s="158"/>
      <c r="I205" s="1409" t="s">
        <v>441</v>
      </c>
      <c r="J205" s="209" t="s">
        <v>21</v>
      </c>
      <c r="K205" s="197">
        <f t="shared" ref="K205:N206" si="67">K209+K221</f>
        <v>4944739</v>
      </c>
      <c r="L205" s="197">
        <f t="shared" si="67"/>
        <v>4944739</v>
      </c>
      <c r="M205" s="197">
        <f t="shared" si="67"/>
        <v>0</v>
      </c>
      <c r="N205" s="197">
        <f t="shared" si="67"/>
        <v>0</v>
      </c>
    </row>
    <row r="206" spans="1:14" s="200" customFormat="1" ht="20.45" hidden="1" customHeight="1">
      <c r="A206" s="1407"/>
      <c r="B206" s="1408"/>
      <c r="C206" s="1408"/>
      <c r="D206" s="195" t="s">
        <v>22</v>
      </c>
      <c r="E206" s="197">
        <f t="shared" si="66"/>
        <v>0</v>
      </c>
      <c r="F206" s="197">
        <f t="shared" si="66"/>
        <v>0</v>
      </c>
      <c r="G206" s="197">
        <f t="shared" si="66"/>
        <v>0</v>
      </c>
      <c r="H206" s="158"/>
      <c r="I206" s="1409"/>
      <c r="J206" s="209" t="s">
        <v>22</v>
      </c>
      <c r="K206" s="197">
        <f t="shared" si="67"/>
        <v>0</v>
      </c>
      <c r="L206" s="197">
        <f t="shared" si="67"/>
        <v>0</v>
      </c>
      <c r="M206" s="197">
        <f t="shared" si="67"/>
        <v>0</v>
      </c>
      <c r="N206" s="197">
        <f t="shared" si="67"/>
        <v>0</v>
      </c>
    </row>
    <row r="207" spans="1:14" s="200" customFormat="1" ht="20.45" hidden="1" customHeight="1">
      <c r="A207" s="1407"/>
      <c r="B207" s="1408"/>
      <c r="C207" s="1408"/>
      <c r="D207" s="204" t="s">
        <v>23</v>
      </c>
      <c r="E207" s="197">
        <f>E205+E206</f>
        <v>4944739</v>
      </c>
      <c r="F207" s="197">
        <f>F205+F206</f>
        <v>4944739</v>
      </c>
      <c r="G207" s="198">
        <f>G205+G206</f>
        <v>0</v>
      </c>
      <c r="H207" s="158"/>
      <c r="I207" s="1409"/>
      <c r="J207" s="209" t="s">
        <v>23</v>
      </c>
      <c r="K207" s="197">
        <f>K205+K206</f>
        <v>4944739</v>
      </c>
      <c r="L207" s="197">
        <f>L205+L206</f>
        <v>4944739</v>
      </c>
      <c r="M207" s="197">
        <f>M205+M206</f>
        <v>0</v>
      </c>
      <c r="N207" s="197">
        <f>N205+N206</f>
        <v>0</v>
      </c>
    </row>
    <row r="208" spans="1:14" ht="4.1500000000000004" hidden="1" customHeight="1">
      <c r="A208" s="172"/>
      <c r="B208" s="173"/>
      <c r="C208" s="174"/>
      <c r="D208" s="175"/>
      <c r="E208" s="239"/>
      <c r="F208" s="239"/>
      <c r="G208" s="240"/>
      <c r="H208" s="158"/>
      <c r="I208" s="179"/>
      <c r="J208" s="180"/>
      <c r="K208" s="177"/>
      <c r="L208" s="177"/>
      <c r="M208" s="177"/>
      <c r="N208" s="177"/>
    </row>
    <row r="209" spans="1:14" s="135" customFormat="1" ht="13.15" hidden="1" customHeight="1">
      <c r="A209" s="1403"/>
      <c r="B209" s="1404" t="s">
        <v>261</v>
      </c>
      <c r="C209" s="1405" t="s">
        <v>160</v>
      </c>
      <c r="D209" s="183" t="s">
        <v>21</v>
      </c>
      <c r="E209" s="185">
        <f t="shared" ref="E209:G210" si="68">E213+E217</f>
        <v>4928517</v>
      </c>
      <c r="F209" s="185">
        <f t="shared" si="68"/>
        <v>4928517</v>
      </c>
      <c r="G209" s="185">
        <f t="shared" si="68"/>
        <v>0</v>
      </c>
      <c r="H209" s="158"/>
      <c r="I209" s="1405" t="s">
        <v>160</v>
      </c>
      <c r="J209" s="187" t="s">
        <v>21</v>
      </c>
      <c r="K209" s="185">
        <f t="shared" ref="K209:N210" si="69">K213+K217</f>
        <v>4928517</v>
      </c>
      <c r="L209" s="185">
        <f t="shared" si="69"/>
        <v>4928517</v>
      </c>
      <c r="M209" s="185">
        <f t="shared" si="69"/>
        <v>0</v>
      </c>
      <c r="N209" s="185">
        <f t="shared" si="69"/>
        <v>0</v>
      </c>
    </row>
    <row r="210" spans="1:14" s="135" customFormat="1" hidden="1">
      <c r="A210" s="1403"/>
      <c r="B210" s="1404"/>
      <c r="C210" s="1405"/>
      <c r="D210" s="183" t="s">
        <v>22</v>
      </c>
      <c r="E210" s="185">
        <f t="shared" si="68"/>
        <v>0</v>
      </c>
      <c r="F210" s="185">
        <f t="shared" si="68"/>
        <v>0</v>
      </c>
      <c r="G210" s="185">
        <f t="shared" si="68"/>
        <v>0</v>
      </c>
      <c r="H210" s="158"/>
      <c r="I210" s="1405"/>
      <c r="J210" s="187" t="s">
        <v>22</v>
      </c>
      <c r="K210" s="185">
        <f t="shared" si="69"/>
        <v>0</v>
      </c>
      <c r="L210" s="185">
        <f t="shared" si="69"/>
        <v>0</v>
      </c>
      <c r="M210" s="185">
        <f t="shared" si="69"/>
        <v>0</v>
      </c>
      <c r="N210" s="185">
        <f t="shared" si="69"/>
        <v>0</v>
      </c>
    </row>
    <row r="211" spans="1:14" s="135" customFormat="1" hidden="1">
      <c r="A211" s="1403"/>
      <c r="B211" s="1404"/>
      <c r="C211" s="1405"/>
      <c r="D211" s="183" t="s">
        <v>23</v>
      </c>
      <c r="E211" s="185">
        <f>E209+E210</f>
        <v>4928517</v>
      </c>
      <c r="F211" s="185">
        <f>F209+F210</f>
        <v>4928517</v>
      </c>
      <c r="G211" s="185">
        <f>G209+G210</f>
        <v>0</v>
      </c>
      <c r="H211" s="158"/>
      <c r="I211" s="1405"/>
      <c r="J211" s="187" t="s">
        <v>23</v>
      </c>
      <c r="K211" s="185">
        <f>K209+K210</f>
        <v>4928517</v>
      </c>
      <c r="L211" s="185">
        <f>L209+L210</f>
        <v>4928517</v>
      </c>
      <c r="M211" s="185">
        <f>M209+M210</f>
        <v>0</v>
      </c>
      <c r="N211" s="185">
        <f>N209+N210</f>
        <v>0</v>
      </c>
    </row>
    <row r="212" spans="1:14" s="135" customFormat="1" ht="3.6" hidden="1" customHeight="1">
      <c r="A212" s="181"/>
      <c r="B212" s="182"/>
      <c r="C212" s="243"/>
      <c r="D212" s="244"/>
      <c r="E212" s="245"/>
      <c r="F212" s="185"/>
      <c r="G212" s="186"/>
      <c r="H212" s="158"/>
      <c r="I212" s="246"/>
      <c r="J212" s="247"/>
      <c r="K212" s="245"/>
      <c r="L212" s="248"/>
      <c r="M212" s="248"/>
      <c r="N212" s="248"/>
    </row>
    <row r="213" spans="1:14" ht="13.15" hidden="1" customHeight="1">
      <c r="A213" s="1397"/>
      <c r="B213" s="1397"/>
      <c r="C213" s="1398" t="s">
        <v>423</v>
      </c>
      <c r="D213" s="149" t="s">
        <v>21</v>
      </c>
      <c r="E213" s="216">
        <f>F213+G213</f>
        <v>860385</v>
      </c>
      <c r="F213" s="191">
        <v>860385</v>
      </c>
      <c r="G213" s="192">
        <v>0</v>
      </c>
      <c r="H213" s="158"/>
      <c r="I213" s="1399" t="s">
        <v>442</v>
      </c>
      <c r="J213" s="194" t="s">
        <v>21</v>
      </c>
      <c r="K213" s="216">
        <f>L213+M213+N213</f>
        <v>860385</v>
      </c>
      <c r="L213" s="191">
        <v>860385</v>
      </c>
      <c r="M213" s="191">
        <v>0</v>
      </c>
      <c r="N213" s="191">
        <v>0</v>
      </c>
    </row>
    <row r="214" spans="1:14" hidden="1">
      <c r="A214" s="1397"/>
      <c r="B214" s="1397"/>
      <c r="C214" s="1398"/>
      <c r="D214" s="149" t="s">
        <v>22</v>
      </c>
      <c r="E214" s="216">
        <f>F214+G214</f>
        <v>0</v>
      </c>
      <c r="F214" s="191"/>
      <c r="G214" s="192"/>
      <c r="H214" s="158"/>
      <c r="I214" s="1399"/>
      <c r="J214" s="180" t="s">
        <v>22</v>
      </c>
      <c r="K214" s="216">
        <f>L214+M214+N214</f>
        <v>0</v>
      </c>
      <c r="L214" s="177"/>
      <c r="M214" s="177"/>
      <c r="N214" s="177"/>
    </row>
    <row r="215" spans="1:14" hidden="1">
      <c r="A215" s="1397"/>
      <c r="B215" s="1397"/>
      <c r="C215" s="1398"/>
      <c r="D215" s="149" t="s">
        <v>23</v>
      </c>
      <c r="E215" s="216">
        <f>E213+E214</f>
        <v>860385</v>
      </c>
      <c r="F215" s="216">
        <f>F213+F214</f>
        <v>860385</v>
      </c>
      <c r="G215" s="280">
        <f>G213+G214</f>
        <v>0</v>
      </c>
      <c r="H215" s="158"/>
      <c r="I215" s="1399"/>
      <c r="J215" s="180" t="s">
        <v>23</v>
      </c>
      <c r="K215" s="266">
        <f>K213+K214</f>
        <v>860385</v>
      </c>
      <c r="L215" s="266">
        <f>L213+L214</f>
        <v>860385</v>
      </c>
      <c r="M215" s="266">
        <f>M213+M214</f>
        <v>0</v>
      </c>
      <c r="N215" s="266">
        <f>N213+N214</f>
        <v>0</v>
      </c>
    </row>
    <row r="216" spans="1:14" ht="5.45" hidden="1" customHeight="1">
      <c r="A216" s="217"/>
      <c r="B216" s="218"/>
      <c r="C216" s="219"/>
      <c r="D216" s="220"/>
      <c r="E216" s="239"/>
      <c r="F216" s="239"/>
      <c r="G216" s="240"/>
      <c r="H216" s="158"/>
      <c r="I216" s="224"/>
      <c r="J216" s="225"/>
      <c r="K216" s="177"/>
      <c r="L216" s="177"/>
      <c r="M216" s="177"/>
      <c r="N216" s="177"/>
    </row>
    <row r="217" spans="1:14" ht="13.15" hidden="1" customHeight="1">
      <c r="A217" s="1397"/>
      <c r="B217" s="1397"/>
      <c r="C217" s="1398" t="s">
        <v>443</v>
      </c>
      <c r="D217" s="149" t="s">
        <v>21</v>
      </c>
      <c r="E217" s="216">
        <f>F217+G217</f>
        <v>4068132</v>
      </c>
      <c r="F217" s="191">
        <v>4068132</v>
      </c>
      <c r="G217" s="192">
        <v>0</v>
      </c>
      <c r="H217" s="158"/>
      <c r="I217" s="1399" t="s">
        <v>439</v>
      </c>
      <c r="J217" s="194" t="s">
        <v>21</v>
      </c>
      <c r="K217" s="216">
        <f>L217+M217+N217</f>
        <v>4068132</v>
      </c>
      <c r="L217" s="191">
        <v>4068132</v>
      </c>
      <c r="M217" s="191">
        <v>0</v>
      </c>
      <c r="N217" s="191">
        <v>0</v>
      </c>
    </row>
    <row r="218" spans="1:14" hidden="1">
      <c r="A218" s="1397"/>
      <c r="B218" s="1397"/>
      <c r="C218" s="1398"/>
      <c r="D218" s="149" t="s">
        <v>22</v>
      </c>
      <c r="E218" s="216">
        <f>F218+G218</f>
        <v>0</v>
      </c>
      <c r="F218" s="191"/>
      <c r="G218" s="192"/>
      <c r="H218" s="158"/>
      <c r="I218" s="1399"/>
      <c r="J218" s="180" t="s">
        <v>22</v>
      </c>
      <c r="K218" s="216">
        <f>L218+M218+N218</f>
        <v>0</v>
      </c>
      <c r="L218" s="177"/>
      <c r="M218" s="177"/>
      <c r="N218" s="177"/>
    </row>
    <row r="219" spans="1:14" hidden="1">
      <c r="A219" s="1397"/>
      <c r="B219" s="1397"/>
      <c r="C219" s="1398"/>
      <c r="D219" s="149" t="s">
        <v>23</v>
      </c>
      <c r="E219" s="216">
        <f>E217+E218</f>
        <v>4068132</v>
      </c>
      <c r="F219" s="216">
        <f>F217+F218</f>
        <v>4068132</v>
      </c>
      <c r="G219" s="280">
        <f>G217+G218</f>
        <v>0</v>
      </c>
      <c r="H219" s="158"/>
      <c r="I219" s="1399"/>
      <c r="J219" s="180" t="s">
        <v>23</v>
      </c>
      <c r="K219" s="266">
        <f>K217+K218</f>
        <v>4068132</v>
      </c>
      <c r="L219" s="266">
        <f>L217+L218</f>
        <v>4068132</v>
      </c>
      <c r="M219" s="266">
        <f>M217+M218</f>
        <v>0</v>
      </c>
      <c r="N219" s="266">
        <f>N217+N218</f>
        <v>0</v>
      </c>
    </row>
    <row r="220" spans="1:14" ht="4.9000000000000004" hidden="1" customHeight="1">
      <c r="A220" s="217"/>
      <c r="B220" s="218"/>
      <c r="C220" s="219"/>
      <c r="D220" s="220"/>
      <c r="E220" s="239"/>
      <c r="F220" s="239"/>
      <c r="G220" s="240"/>
      <c r="H220" s="158"/>
      <c r="I220" s="224"/>
      <c r="J220" s="225"/>
      <c r="K220" s="177"/>
      <c r="L220" s="177"/>
      <c r="M220" s="177"/>
      <c r="N220" s="177"/>
    </row>
    <row r="221" spans="1:14" s="135" customFormat="1" ht="13.15" hidden="1" customHeight="1">
      <c r="A221" s="1403"/>
      <c r="B221" s="1404" t="s">
        <v>278</v>
      </c>
      <c r="C221" s="1405" t="s">
        <v>163</v>
      </c>
      <c r="D221" s="244" t="s">
        <v>21</v>
      </c>
      <c r="E221" s="185">
        <f t="shared" ref="E221:G222" si="70">E225</f>
        <v>16222</v>
      </c>
      <c r="F221" s="185">
        <f t="shared" si="70"/>
        <v>16222</v>
      </c>
      <c r="G221" s="185">
        <f t="shared" si="70"/>
        <v>0</v>
      </c>
      <c r="H221" s="158"/>
      <c r="I221" s="1405" t="s">
        <v>163</v>
      </c>
      <c r="J221" s="247" t="s">
        <v>21</v>
      </c>
      <c r="K221" s="185">
        <f t="shared" ref="K221:N222" si="71">K225</f>
        <v>16222</v>
      </c>
      <c r="L221" s="185">
        <f t="shared" si="71"/>
        <v>16222</v>
      </c>
      <c r="M221" s="185">
        <f t="shared" si="71"/>
        <v>0</v>
      </c>
      <c r="N221" s="185">
        <f t="shared" si="71"/>
        <v>0</v>
      </c>
    </row>
    <row r="222" spans="1:14" s="135" customFormat="1" hidden="1">
      <c r="A222" s="1403"/>
      <c r="B222" s="1404"/>
      <c r="C222" s="1405"/>
      <c r="D222" s="244" t="s">
        <v>22</v>
      </c>
      <c r="E222" s="185">
        <f t="shared" si="70"/>
        <v>0</v>
      </c>
      <c r="F222" s="185">
        <f t="shared" si="70"/>
        <v>0</v>
      </c>
      <c r="G222" s="185">
        <f t="shared" si="70"/>
        <v>0</v>
      </c>
      <c r="H222" s="158"/>
      <c r="I222" s="1405"/>
      <c r="J222" s="247" t="s">
        <v>22</v>
      </c>
      <c r="K222" s="185">
        <f t="shared" si="71"/>
        <v>0</v>
      </c>
      <c r="L222" s="185">
        <f t="shared" si="71"/>
        <v>0</v>
      </c>
      <c r="M222" s="185">
        <f t="shared" si="71"/>
        <v>0</v>
      </c>
      <c r="N222" s="185">
        <f t="shared" si="71"/>
        <v>0</v>
      </c>
    </row>
    <row r="223" spans="1:14" s="135" customFormat="1" hidden="1">
      <c r="A223" s="1403"/>
      <c r="B223" s="1404"/>
      <c r="C223" s="1405"/>
      <c r="D223" s="244" t="s">
        <v>23</v>
      </c>
      <c r="E223" s="185">
        <f>E222+E221</f>
        <v>16222</v>
      </c>
      <c r="F223" s="185">
        <f>F222+F221</f>
        <v>16222</v>
      </c>
      <c r="G223" s="185">
        <f>G222+G221</f>
        <v>0</v>
      </c>
      <c r="H223" s="158"/>
      <c r="I223" s="1405"/>
      <c r="J223" s="247" t="s">
        <v>23</v>
      </c>
      <c r="K223" s="185">
        <f>K221+K222</f>
        <v>16222</v>
      </c>
      <c r="L223" s="185">
        <f>L221+L222</f>
        <v>16222</v>
      </c>
      <c r="M223" s="185">
        <f>M221+M222</f>
        <v>0</v>
      </c>
      <c r="N223" s="185">
        <f>N221+N222</f>
        <v>0</v>
      </c>
    </row>
    <row r="224" spans="1:14" ht="6" hidden="1" customHeight="1">
      <c r="A224" s="217"/>
      <c r="B224" s="218"/>
      <c r="C224" s="219"/>
      <c r="D224" s="220"/>
      <c r="E224" s="239"/>
      <c r="F224" s="239"/>
      <c r="G224" s="240"/>
      <c r="H224" s="158"/>
      <c r="I224" s="224"/>
      <c r="J224" s="225"/>
      <c r="K224" s="177"/>
      <c r="L224" s="177"/>
      <c r="M224" s="177"/>
      <c r="N224" s="177"/>
    </row>
    <row r="225" spans="1:14" ht="13.15" hidden="1" customHeight="1">
      <c r="A225" s="1397"/>
      <c r="B225" s="1397"/>
      <c r="C225" s="1398" t="s">
        <v>443</v>
      </c>
      <c r="D225" s="149" t="s">
        <v>21</v>
      </c>
      <c r="E225" s="216">
        <f>F225+G225</f>
        <v>16222</v>
      </c>
      <c r="F225" s="191">
        <v>16222</v>
      </c>
      <c r="G225" s="192">
        <v>0</v>
      </c>
      <c r="H225" s="158"/>
      <c r="I225" s="1399" t="s">
        <v>439</v>
      </c>
      <c r="J225" s="194" t="s">
        <v>21</v>
      </c>
      <c r="K225" s="216">
        <f>L225+M225+N225</f>
        <v>16222</v>
      </c>
      <c r="L225" s="191">
        <v>16222</v>
      </c>
      <c r="M225" s="191">
        <v>0</v>
      </c>
      <c r="N225" s="191">
        <v>0</v>
      </c>
    </row>
    <row r="226" spans="1:14" hidden="1">
      <c r="A226" s="1397"/>
      <c r="B226" s="1397"/>
      <c r="C226" s="1398"/>
      <c r="D226" s="149" t="s">
        <v>22</v>
      </c>
      <c r="E226" s="216">
        <f>F226+G226</f>
        <v>0</v>
      </c>
      <c r="F226" s="191"/>
      <c r="G226" s="192"/>
      <c r="H226" s="158"/>
      <c r="I226" s="1399"/>
      <c r="J226" s="180" t="s">
        <v>22</v>
      </c>
      <c r="K226" s="216">
        <f>L226+M226+N226</f>
        <v>0</v>
      </c>
      <c r="L226" s="177"/>
      <c r="M226" s="177"/>
      <c r="N226" s="177"/>
    </row>
    <row r="227" spans="1:14" hidden="1">
      <c r="A227" s="1397"/>
      <c r="B227" s="1397"/>
      <c r="C227" s="1398"/>
      <c r="D227" s="149" t="s">
        <v>23</v>
      </c>
      <c r="E227" s="216">
        <f>E225+E226</f>
        <v>16222</v>
      </c>
      <c r="F227" s="216">
        <f>F225+F226</f>
        <v>16222</v>
      </c>
      <c r="G227" s="280">
        <f>G225+G226</f>
        <v>0</v>
      </c>
      <c r="H227" s="158"/>
      <c r="I227" s="1399"/>
      <c r="J227" s="180" t="s">
        <v>23</v>
      </c>
      <c r="K227" s="266">
        <f>K225+K226</f>
        <v>16222</v>
      </c>
      <c r="L227" s="266">
        <f>L225+L226</f>
        <v>16222</v>
      </c>
      <c r="M227" s="266">
        <f>M225+M226</f>
        <v>0</v>
      </c>
      <c r="N227" s="266">
        <f>N225+N226</f>
        <v>0</v>
      </c>
    </row>
    <row r="228" spans="1:14" hidden="1">
      <c r="A228" s="217"/>
      <c r="B228" s="218"/>
      <c r="C228" s="219"/>
      <c r="D228" s="220"/>
      <c r="E228" s="239"/>
      <c r="F228" s="239"/>
      <c r="G228" s="240"/>
      <c r="H228" s="158"/>
      <c r="I228" s="224"/>
      <c r="J228" s="225"/>
      <c r="K228" s="177"/>
      <c r="L228" s="177"/>
      <c r="M228" s="177"/>
      <c r="N228" s="177"/>
    </row>
    <row r="229" spans="1:14" s="135" customFormat="1" ht="13.15" hidden="1" customHeight="1">
      <c r="A229" s="1403"/>
      <c r="B229" s="1404" t="s">
        <v>444</v>
      </c>
      <c r="C229" s="1405" t="s">
        <v>168</v>
      </c>
      <c r="D229" s="183" t="s">
        <v>21</v>
      </c>
      <c r="E229" s="185">
        <f t="shared" ref="E229:G230" si="72">E233</f>
        <v>16000</v>
      </c>
      <c r="F229" s="185">
        <f t="shared" si="72"/>
        <v>16000</v>
      </c>
      <c r="G229" s="186">
        <f t="shared" si="72"/>
        <v>0</v>
      </c>
      <c r="H229" s="158"/>
      <c r="I229" s="1406" t="s">
        <v>168</v>
      </c>
      <c r="J229" s="187" t="s">
        <v>21</v>
      </c>
      <c r="K229" s="185">
        <f t="shared" ref="K229:N230" si="73">K233</f>
        <v>16000</v>
      </c>
      <c r="L229" s="185">
        <f t="shared" si="73"/>
        <v>16000</v>
      </c>
      <c r="M229" s="185">
        <f t="shared" si="73"/>
        <v>0</v>
      </c>
      <c r="N229" s="185">
        <f t="shared" si="73"/>
        <v>0</v>
      </c>
    </row>
    <row r="230" spans="1:14" s="135" customFormat="1" hidden="1">
      <c r="A230" s="1403"/>
      <c r="B230" s="1404"/>
      <c r="C230" s="1405"/>
      <c r="D230" s="183" t="s">
        <v>22</v>
      </c>
      <c r="E230" s="185">
        <f t="shared" si="72"/>
        <v>0</v>
      </c>
      <c r="F230" s="185">
        <f t="shared" si="72"/>
        <v>0</v>
      </c>
      <c r="G230" s="186">
        <f t="shared" si="72"/>
        <v>0</v>
      </c>
      <c r="H230" s="158"/>
      <c r="I230" s="1406"/>
      <c r="J230" s="187" t="s">
        <v>22</v>
      </c>
      <c r="K230" s="185">
        <f t="shared" si="73"/>
        <v>0</v>
      </c>
      <c r="L230" s="185">
        <f t="shared" si="73"/>
        <v>0</v>
      </c>
      <c r="M230" s="185">
        <f t="shared" si="73"/>
        <v>0</v>
      </c>
      <c r="N230" s="185">
        <f t="shared" si="73"/>
        <v>0</v>
      </c>
    </row>
    <row r="231" spans="1:14" s="135" customFormat="1" hidden="1">
      <c r="A231" s="1403"/>
      <c r="B231" s="1404"/>
      <c r="C231" s="1405"/>
      <c r="D231" s="183" t="s">
        <v>23</v>
      </c>
      <c r="E231" s="185">
        <f>E229+E230</f>
        <v>16000</v>
      </c>
      <c r="F231" s="185">
        <f>F229+F230</f>
        <v>16000</v>
      </c>
      <c r="G231" s="186">
        <f>G229+G230</f>
        <v>0</v>
      </c>
      <c r="H231" s="158"/>
      <c r="I231" s="1406"/>
      <c r="J231" s="187" t="s">
        <v>23</v>
      </c>
      <c r="K231" s="185">
        <f>K229+K230</f>
        <v>16000</v>
      </c>
      <c r="L231" s="185">
        <f>L229+L230</f>
        <v>16000</v>
      </c>
      <c r="M231" s="185">
        <f>M229+M230</f>
        <v>0</v>
      </c>
      <c r="N231" s="185">
        <f>N229+N230</f>
        <v>0</v>
      </c>
    </row>
    <row r="232" spans="1:14" ht="9" hidden="1" customHeight="1">
      <c r="A232" s="146"/>
      <c r="B232" s="189"/>
      <c r="C232" s="148"/>
      <c r="D232" s="149"/>
      <c r="E232" s="241"/>
      <c r="F232" s="241"/>
      <c r="G232" s="242"/>
      <c r="H232" s="158"/>
      <c r="I232" s="193"/>
      <c r="J232" s="194"/>
      <c r="K232" s="191"/>
      <c r="L232" s="191"/>
      <c r="M232" s="191"/>
      <c r="N232" s="191"/>
    </row>
    <row r="233" spans="1:14" s="200" customFormat="1" ht="13.9" hidden="1" customHeight="1">
      <c r="A233" s="1407">
        <v>9</v>
      </c>
      <c r="B233" s="1408" t="s">
        <v>445</v>
      </c>
      <c r="C233" s="1408"/>
      <c r="D233" s="195" t="s">
        <v>21</v>
      </c>
      <c r="E233" s="197">
        <f t="shared" ref="E233:G234" si="74">E237</f>
        <v>16000</v>
      </c>
      <c r="F233" s="197">
        <f t="shared" si="74"/>
        <v>16000</v>
      </c>
      <c r="G233" s="198">
        <f t="shared" si="74"/>
        <v>0</v>
      </c>
      <c r="H233" s="158"/>
      <c r="I233" s="1409" t="s">
        <v>445</v>
      </c>
      <c r="J233" s="209" t="s">
        <v>21</v>
      </c>
      <c r="K233" s="197">
        <f t="shared" ref="K233:N234" si="75">K237</f>
        <v>16000</v>
      </c>
      <c r="L233" s="197">
        <f t="shared" si="75"/>
        <v>16000</v>
      </c>
      <c r="M233" s="197">
        <f t="shared" si="75"/>
        <v>0</v>
      </c>
      <c r="N233" s="197">
        <f t="shared" si="75"/>
        <v>0</v>
      </c>
    </row>
    <row r="234" spans="1:14" s="200" customFormat="1" ht="13.5" hidden="1">
      <c r="A234" s="1407"/>
      <c r="B234" s="1408"/>
      <c r="C234" s="1408"/>
      <c r="D234" s="195" t="s">
        <v>22</v>
      </c>
      <c r="E234" s="197">
        <f t="shared" si="74"/>
        <v>0</v>
      </c>
      <c r="F234" s="197">
        <f t="shared" si="74"/>
        <v>0</v>
      </c>
      <c r="G234" s="198">
        <f t="shared" si="74"/>
        <v>0</v>
      </c>
      <c r="H234" s="158"/>
      <c r="I234" s="1409"/>
      <c r="J234" s="209" t="s">
        <v>22</v>
      </c>
      <c r="K234" s="197">
        <f t="shared" si="75"/>
        <v>0</v>
      </c>
      <c r="L234" s="197">
        <f t="shared" si="75"/>
        <v>0</v>
      </c>
      <c r="M234" s="197">
        <f t="shared" si="75"/>
        <v>0</v>
      </c>
      <c r="N234" s="197">
        <f t="shared" si="75"/>
        <v>0</v>
      </c>
    </row>
    <row r="235" spans="1:14" s="200" customFormat="1" ht="13.5" hidden="1">
      <c r="A235" s="1407"/>
      <c r="B235" s="1408"/>
      <c r="C235" s="1408"/>
      <c r="D235" s="195" t="s">
        <v>23</v>
      </c>
      <c r="E235" s="197">
        <f>E233+E234</f>
        <v>16000</v>
      </c>
      <c r="F235" s="197">
        <f>F233+F234</f>
        <v>16000</v>
      </c>
      <c r="G235" s="198">
        <f>G233+G234</f>
        <v>0</v>
      </c>
      <c r="H235" s="158"/>
      <c r="I235" s="1409"/>
      <c r="J235" s="209" t="s">
        <v>23</v>
      </c>
      <c r="K235" s="197">
        <f>K233+K234</f>
        <v>16000</v>
      </c>
      <c r="L235" s="197">
        <f>L233+L234</f>
        <v>16000</v>
      </c>
      <c r="M235" s="197">
        <f>M233+M234</f>
        <v>0</v>
      </c>
      <c r="N235" s="197">
        <f>N233+N234</f>
        <v>0</v>
      </c>
    </row>
    <row r="236" spans="1:14" s="135" customFormat="1" hidden="1">
      <c r="A236" s="181"/>
      <c r="B236" s="182"/>
      <c r="C236" s="243"/>
      <c r="D236" s="244"/>
      <c r="E236" s="245"/>
      <c r="F236" s="185"/>
      <c r="G236" s="186"/>
      <c r="H236" s="158"/>
      <c r="I236" s="246"/>
      <c r="J236" s="247"/>
      <c r="K236" s="245"/>
      <c r="L236" s="248"/>
      <c r="M236" s="248"/>
      <c r="N236" s="248"/>
    </row>
    <row r="237" spans="1:14" ht="13.15" hidden="1" customHeight="1">
      <c r="A237" s="1397"/>
      <c r="B237" s="1397"/>
      <c r="C237" s="1398" t="s">
        <v>423</v>
      </c>
      <c r="D237" s="149" t="s">
        <v>21</v>
      </c>
      <c r="E237" s="216">
        <f>F237+G237</f>
        <v>16000</v>
      </c>
      <c r="F237" s="191">
        <v>16000</v>
      </c>
      <c r="G237" s="192">
        <v>0</v>
      </c>
      <c r="H237" s="158"/>
      <c r="I237" s="1399" t="s">
        <v>8</v>
      </c>
      <c r="J237" s="194" t="s">
        <v>21</v>
      </c>
      <c r="K237" s="216">
        <f>L237+M237+N237</f>
        <v>16000</v>
      </c>
      <c r="L237" s="191">
        <v>16000</v>
      </c>
      <c r="M237" s="191">
        <v>0</v>
      </c>
      <c r="N237" s="191">
        <v>0</v>
      </c>
    </row>
    <row r="238" spans="1:14" hidden="1">
      <c r="A238" s="1397"/>
      <c r="B238" s="1397"/>
      <c r="C238" s="1398"/>
      <c r="D238" s="149" t="s">
        <v>22</v>
      </c>
      <c r="E238" s="216">
        <f>F238+G238</f>
        <v>0</v>
      </c>
      <c r="F238" s="191"/>
      <c r="G238" s="192"/>
      <c r="H238" s="158"/>
      <c r="I238" s="1399"/>
      <c r="J238" s="180" t="s">
        <v>22</v>
      </c>
      <c r="K238" s="216">
        <f>L238+M238+N238</f>
        <v>0</v>
      </c>
      <c r="L238" s="177"/>
      <c r="M238" s="177"/>
      <c r="N238" s="177"/>
    </row>
    <row r="239" spans="1:14" hidden="1">
      <c r="A239" s="1397"/>
      <c r="B239" s="1397"/>
      <c r="C239" s="1398"/>
      <c r="D239" s="149" t="s">
        <v>23</v>
      </c>
      <c r="E239" s="216">
        <f>E237+E238</f>
        <v>16000</v>
      </c>
      <c r="F239" s="216">
        <f>F237+F238</f>
        <v>16000</v>
      </c>
      <c r="G239" s="280">
        <f>G237+G238</f>
        <v>0</v>
      </c>
      <c r="H239" s="158"/>
      <c r="I239" s="1399"/>
      <c r="J239" s="180" t="s">
        <v>23</v>
      </c>
      <c r="K239" s="266">
        <f>K237+K238</f>
        <v>16000</v>
      </c>
      <c r="L239" s="266">
        <f>L237+L238</f>
        <v>16000</v>
      </c>
      <c r="M239" s="266">
        <f>M237+M238</f>
        <v>0</v>
      </c>
      <c r="N239" s="266">
        <f>N237+N238</f>
        <v>0</v>
      </c>
    </row>
    <row r="240" spans="1:14" ht="10.9" hidden="1" customHeight="1">
      <c r="A240" s="146"/>
      <c r="B240" s="189"/>
      <c r="C240" s="148"/>
      <c r="D240" s="149"/>
      <c r="E240" s="216"/>
      <c r="F240" s="241"/>
      <c r="G240" s="242"/>
      <c r="H240" s="158"/>
      <c r="I240" s="193"/>
      <c r="J240" s="180"/>
      <c r="K240" s="266"/>
      <c r="L240" s="177"/>
      <c r="M240" s="177"/>
      <c r="N240" s="177"/>
    </row>
    <row r="241" spans="1:14" s="135" customFormat="1" ht="13.15" hidden="1" customHeight="1">
      <c r="A241" s="1403"/>
      <c r="B241" s="1404" t="s">
        <v>446</v>
      </c>
      <c r="C241" s="1405" t="s">
        <v>37</v>
      </c>
      <c r="D241" s="183" t="s">
        <v>21</v>
      </c>
      <c r="E241" s="185">
        <f t="shared" ref="E241:G242" si="76">E245</f>
        <v>20000</v>
      </c>
      <c r="F241" s="185">
        <f t="shared" si="76"/>
        <v>20000</v>
      </c>
      <c r="G241" s="186">
        <f t="shared" si="76"/>
        <v>0</v>
      </c>
      <c r="H241" s="158"/>
      <c r="I241" s="1406" t="s">
        <v>37</v>
      </c>
      <c r="J241" s="247" t="s">
        <v>21</v>
      </c>
      <c r="K241" s="185">
        <f t="shared" ref="K241:N242" si="77">K245</f>
        <v>20000</v>
      </c>
      <c r="L241" s="185">
        <f t="shared" si="77"/>
        <v>20000</v>
      </c>
      <c r="M241" s="185">
        <f t="shared" si="77"/>
        <v>0</v>
      </c>
      <c r="N241" s="185">
        <f t="shared" si="77"/>
        <v>0</v>
      </c>
    </row>
    <row r="242" spans="1:14" s="135" customFormat="1" hidden="1">
      <c r="A242" s="1403"/>
      <c r="B242" s="1404"/>
      <c r="C242" s="1405"/>
      <c r="D242" s="183" t="s">
        <v>22</v>
      </c>
      <c r="E242" s="185">
        <f t="shared" si="76"/>
        <v>0</v>
      </c>
      <c r="F242" s="185">
        <f t="shared" si="76"/>
        <v>0</v>
      </c>
      <c r="G242" s="186">
        <f t="shared" si="76"/>
        <v>0</v>
      </c>
      <c r="H242" s="158"/>
      <c r="I242" s="1406"/>
      <c r="J242" s="247" t="s">
        <v>22</v>
      </c>
      <c r="K242" s="185">
        <f t="shared" si="77"/>
        <v>0</v>
      </c>
      <c r="L242" s="185">
        <f t="shared" si="77"/>
        <v>0</v>
      </c>
      <c r="M242" s="185">
        <f t="shared" si="77"/>
        <v>0</v>
      </c>
      <c r="N242" s="185">
        <f t="shared" si="77"/>
        <v>0</v>
      </c>
    </row>
    <row r="243" spans="1:14" s="135" customFormat="1" hidden="1">
      <c r="A243" s="1403"/>
      <c r="B243" s="1404"/>
      <c r="C243" s="1405"/>
      <c r="D243" s="183" t="s">
        <v>23</v>
      </c>
      <c r="E243" s="185">
        <f>E241+E242</f>
        <v>20000</v>
      </c>
      <c r="F243" s="185">
        <f>F241+F242</f>
        <v>20000</v>
      </c>
      <c r="G243" s="186">
        <f>G241+G242</f>
        <v>0</v>
      </c>
      <c r="H243" s="158"/>
      <c r="I243" s="1406"/>
      <c r="J243" s="247" t="s">
        <v>23</v>
      </c>
      <c r="K243" s="185">
        <f>K241+K242</f>
        <v>20000</v>
      </c>
      <c r="L243" s="185">
        <f>L241+L242</f>
        <v>20000</v>
      </c>
      <c r="M243" s="185">
        <f>M241+M242</f>
        <v>0</v>
      </c>
      <c r="N243" s="185">
        <f>N241+N242</f>
        <v>0</v>
      </c>
    </row>
    <row r="244" spans="1:14" ht="7.9" hidden="1" customHeight="1">
      <c r="A244" s="146"/>
      <c r="B244" s="189"/>
      <c r="C244" s="148"/>
      <c r="D244" s="149"/>
      <c r="E244" s="241"/>
      <c r="F244" s="241"/>
      <c r="G244" s="242"/>
      <c r="H244" s="158"/>
      <c r="I244" s="193"/>
      <c r="J244" s="194"/>
      <c r="K244" s="191"/>
      <c r="L244" s="191"/>
      <c r="M244" s="191"/>
      <c r="N244" s="191"/>
    </row>
    <row r="245" spans="1:14" s="200" customFormat="1" ht="13.9" hidden="1" customHeight="1">
      <c r="A245" s="1407">
        <v>2</v>
      </c>
      <c r="B245" s="1408" t="s">
        <v>447</v>
      </c>
      <c r="C245" s="1408"/>
      <c r="D245" s="195" t="s">
        <v>21</v>
      </c>
      <c r="E245" s="197">
        <f t="shared" ref="E245:G246" si="78">E249</f>
        <v>20000</v>
      </c>
      <c r="F245" s="197">
        <f t="shared" si="78"/>
        <v>20000</v>
      </c>
      <c r="G245" s="198">
        <f t="shared" si="78"/>
        <v>0</v>
      </c>
      <c r="H245" s="158"/>
      <c r="I245" s="1409" t="s">
        <v>447</v>
      </c>
      <c r="J245" s="209" t="s">
        <v>21</v>
      </c>
      <c r="K245" s="197">
        <f t="shared" ref="K245:N246" si="79">K249</f>
        <v>20000</v>
      </c>
      <c r="L245" s="197">
        <f t="shared" si="79"/>
        <v>20000</v>
      </c>
      <c r="M245" s="197">
        <f t="shared" si="79"/>
        <v>0</v>
      </c>
      <c r="N245" s="197">
        <f t="shared" si="79"/>
        <v>0</v>
      </c>
    </row>
    <row r="246" spans="1:14" s="200" customFormat="1" ht="13.5" hidden="1">
      <c r="A246" s="1407"/>
      <c r="B246" s="1408"/>
      <c r="C246" s="1408"/>
      <c r="D246" s="195" t="s">
        <v>22</v>
      </c>
      <c r="E246" s="197">
        <f t="shared" si="78"/>
        <v>0</v>
      </c>
      <c r="F246" s="197">
        <f t="shared" si="78"/>
        <v>0</v>
      </c>
      <c r="G246" s="198">
        <f t="shared" si="78"/>
        <v>0</v>
      </c>
      <c r="H246" s="158"/>
      <c r="I246" s="1409"/>
      <c r="J246" s="209" t="s">
        <v>22</v>
      </c>
      <c r="K246" s="197">
        <f t="shared" si="79"/>
        <v>0</v>
      </c>
      <c r="L246" s="197">
        <f t="shared" si="79"/>
        <v>0</v>
      </c>
      <c r="M246" s="197">
        <f t="shared" si="79"/>
        <v>0</v>
      </c>
      <c r="N246" s="197">
        <f t="shared" si="79"/>
        <v>0</v>
      </c>
    </row>
    <row r="247" spans="1:14" s="200" customFormat="1" ht="13.5" hidden="1">
      <c r="A247" s="1407"/>
      <c r="B247" s="1408"/>
      <c r="C247" s="1408"/>
      <c r="D247" s="195" t="s">
        <v>23</v>
      </c>
      <c r="E247" s="197">
        <f>E245+E246</f>
        <v>20000</v>
      </c>
      <c r="F247" s="197">
        <f>F245+F246</f>
        <v>20000</v>
      </c>
      <c r="G247" s="198">
        <f>G245+G246</f>
        <v>0</v>
      </c>
      <c r="H247" s="158"/>
      <c r="I247" s="1409"/>
      <c r="J247" s="209" t="s">
        <v>23</v>
      </c>
      <c r="K247" s="197">
        <f>K245+K246</f>
        <v>20000</v>
      </c>
      <c r="L247" s="197">
        <f>L245+L246</f>
        <v>20000</v>
      </c>
      <c r="M247" s="197">
        <f>M245+M246</f>
        <v>0</v>
      </c>
      <c r="N247" s="197">
        <f>N245+N246</f>
        <v>0</v>
      </c>
    </row>
    <row r="248" spans="1:14" s="135" customFormat="1" ht="7.9" hidden="1" customHeight="1">
      <c r="A248" s="181"/>
      <c r="B248" s="182"/>
      <c r="C248" s="243"/>
      <c r="D248" s="244"/>
      <c r="E248" s="245"/>
      <c r="F248" s="185"/>
      <c r="G248" s="186"/>
      <c r="H248" s="158"/>
      <c r="I248" s="246"/>
      <c r="J248" s="247"/>
      <c r="K248" s="245"/>
      <c r="L248" s="248"/>
      <c r="M248" s="248"/>
      <c r="N248" s="248"/>
    </row>
    <row r="249" spans="1:14" ht="13.15" hidden="1" customHeight="1">
      <c r="A249" s="1397"/>
      <c r="B249" s="1397"/>
      <c r="C249" s="1398" t="s">
        <v>423</v>
      </c>
      <c r="D249" s="281" t="s">
        <v>21</v>
      </c>
      <c r="E249" s="233">
        <f>F249+G249</f>
        <v>20000</v>
      </c>
      <c r="F249" s="192">
        <v>20000</v>
      </c>
      <c r="G249" s="192">
        <v>0</v>
      </c>
      <c r="H249" s="158"/>
      <c r="I249" s="1399" t="s">
        <v>8</v>
      </c>
      <c r="J249" s="269" t="s">
        <v>21</v>
      </c>
      <c r="K249" s="216">
        <f>L249+M249+N249</f>
        <v>20000</v>
      </c>
      <c r="L249" s="191">
        <v>20000</v>
      </c>
      <c r="M249" s="191">
        <v>0</v>
      </c>
      <c r="N249" s="191">
        <v>0</v>
      </c>
    </row>
    <row r="250" spans="1:14" hidden="1">
      <c r="A250" s="1397"/>
      <c r="B250" s="1397"/>
      <c r="C250" s="1398"/>
      <c r="D250" s="281" t="s">
        <v>22</v>
      </c>
      <c r="E250" s="233">
        <f>F250+G250</f>
        <v>0</v>
      </c>
      <c r="F250" s="232"/>
      <c r="G250" s="232"/>
      <c r="H250" s="158"/>
      <c r="I250" s="1399"/>
      <c r="J250" s="282" t="s">
        <v>22</v>
      </c>
      <c r="K250" s="216">
        <f>L250+M250+N250</f>
        <v>0</v>
      </c>
      <c r="L250" s="215"/>
      <c r="M250" s="215"/>
      <c r="N250" s="215"/>
    </row>
    <row r="251" spans="1:14" hidden="1">
      <c r="A251" s="1397"/>
      <c r="B251" s="1397"/>
      <c r="C251" s="1398"/>
      <c r="D251" s="281" t="s">
        <v>23</v>
      </c>
      <c r="E251" s="233">
        <f>E249+E250</f>
        <v>20000</v>
      </c>
      <c r="F251" s="233">
        <f>F249+F250</f>
        <v>20000</v>
      </c>
      <c r="G251" s="233">
        <f>G249+G250</f>
        <v>0</v>
      </c>
      <c r="H251" s="158"/>
      <c r="I251" s="1399"/>
      <c r="J251" s="282" t="s">
        <v>23</v>
      </c>
      <c r="K251" s="213">
        <f>K249+K250</f>
        <v>20000</v>
      </c>
      <c r="L251" s="213">
        <f>L249+L250</f>
        <v>20000</v>
      </c>
      <c r="M251" s="213">
        <f>M249+M250</f>
        <v>0</v>
      </c>
      <c r="N251" s="213">
        <f>N249+N250</f>
        <v>0</v>
      </c>
    </row>
    <row r="252" spans="1:14" ht="10.15" hidden="1" customHeight="1">
      <c r="A252" s="234"/>
      <c r="B252" s="254"/>
      <c r="C252" s="255"/>
      <c r="D252" s="212"/>
      <c r="E252" s="213"/>
      <c r="F252" s="256"/>
      <c r="G252" s="257"/>
      <c r="H252" s="158"/>
      <c r="I252" s="258"/>
      <c r="J252" s="214"/>
      <c r="K252" s="213"/>
      <c r="L252" s="215"/>
      <c r="M252" s="215"/>
      <c r="N252" s="215"/>
    </row>
    <row r="253" spans="1:14" s="167" customFormat="1" ht="13.9" hidden="1" customHeight="1">
      <c r="A253" s="1411"/>
      <c r="B253" s="1412" t="s">
        <v>286</v>
      </c>
      <c r="C253" s="1413" t="s">
        <v>174</v>
      </c>
      <c r="D253" s="164" t="s">
        <v>21</v>
      </c>
      <c r="E253" s="31">
        <f t="shared" ref="E253:G254" si="80">E257</f>
        <v>1000</v>
      </c>
      <c r="F253" s="31">
        <f t="shared" si="80"/>
        <v>1000</v>
      </c>
      <c r="G253" s="165">
        <f t="shared" si="80"/>
        <v>0</v>
      </c>
      <c r="H253" s="155"/>
      <c r="I253" s="1414" t="s">
        <v>174</v>
      </c>
      <c r="J253" s="166" t="s">
        <v>21</v>
      </c>
      <c r="K253" s="31">
        <f t="shared" ref="K253:N254" si="81">K257</f>
        <v>1000</v>
      </c>
      <c r="L253" s="31">
        <f t="shared" si="81"/>
        <v>1000</v>
      </c>
      <c r="M253" s="31">
        <f t="shared" si="81"/>
        <v>0</v>
      </c>
      <c r="N253" s="31">
        <f t="shared" si="81"/>
        <v>0</v>
      </c>
    </row>
    <row r="254" spans="1:14" s="167" customFormat="1" ht="14.25" hidden="1">
      <c r="A254" s="1411"/>
      <c r="B254" s="1412"/>
      <c r="C254" s="1413"/>
      <c r="D254" s="168" t="s">
        <v>22</v>
      </c>
      <c r="E254" s="31">
        <f t="shared" si="80"/>
        <v>0</v>
      </c>
      <c r="F254" s="31">
        <f t="shared" si="80"/>
        <v>0</v>
      </c>
      <c r="G254" s="165">
        <f t="shared" si="80"/>
        <v>0</v>
      </c>
      <c r="H254" s="158"/>
      <c r="I254" s="1414"/>
      <c r="J254" s="169" t="s">
        <v>22</v>
      </c>
      <c r="K254" s="31">
        <f t="shared" si="81"/>
        <v>0</v>
      </c>
      <c r="L254" s="31">
        <f t="shared" si="81"/>
        <v>0</v>
      </c>
      <c r="M254" s="31">
        <f t="shared" si="81"/>
        <v>0</v>
      </c>
      <c r="N254" s="31">
        <f t="shared" si="81"/>
        <v>0</v>
      </c>
    </row>
    <row r="255" spans="1:14" s="167" customFormat="1" ht="14.25" hidden="1">
      <c r="A255" s="1411"/>
      <c r="B255" s="1412"/>
      <c r="C255" s="1413"/>
      <c r="D255" s="168" t="s">
        <v>23</v>
      </c>
      <c r="E255" s="250">
        <f>E253+E254</f>
        <v>1000</v>
      </c>
      <c r="F255" s="250">
        <f>F253+F254</f>
        <v>1000</v>
      </c>
      <c r="G255" s="251">
        <f>G253+G254</f>
        <v>0</v>
      </c>
      <c r="H255" s="160"/>
      <c r="I255" s="1414"/>
      <c r="J255" s="169" t="s">
        <v>23</v>
      </c>
      <c r="K255" s="250">
        <f>K253+K254</f>
        <v>1000</v>
      </c>
      <c r="L255" s="250">
        <f>L253+L254</f>
        <v>1000</v>
      </c>
      <c r="M255" s="250">
        <f>M253+M254</f>
        <v>0</v>
      </c>
      <c r="N255" s="250">
        <f>N253+N254</f>
        <v>0</v>
      </c>
    </row>
    <row r="256" spans="1:14" ht="4.5" hidden="1" customHeight="1">
      <c r="A256" s="172"/>
      <c r="B256" s="173"/>
      <c r="C256" s="174"/>
      <c r="D256" s="175"/>
      <c r="E256" s="239"/>
      <c r="F256" s="239"/>
      <c r="G256" s="240"/>
      <c r="H256" s="158"/>
      <c r="I256" s="179"/>
      <c r="J256" s="180"/>
      <c r="K256" s="177"/>
      <c r="L256" s="177"/>
      <c r="M256" s="177"/>
      <c r="N256" s="177"/>
    </row>
    <row r="257" spans="1:14" s="135" customFormat="1" ht="13.15" hidden="1" customHeight="1">
      <c r="A257" s="1403"/>
      <c r="B257" s="1404" t="s">
        <v>287</v>
      </c>
      <c r="C257" s="1405" t="s">
        <v>178</v>
      </c>
      <c r="D257" s="183" t="s">
        <v>21</v>
      </c>
      <c r="E257" s="185">
        <f t="shared" ref="E257:G258" si="82">E261</f>
        <v>1000</v>
      </c>
      <c r="F257" s="185">
        <f t="shared" si="82"/>
        <v>1000</v>
      </c>
      <c r="G257" s="186">
        <f t="shared" si="82"/>
        <v>0</v>
      </c>
      <c r="H257" s="158"/>
      <c r="I257" s="1406" t="s">
        <v>178</v>
      </c>
      <c r="J257" s="187" t="s">
        <v>21</v>
      </c>
      <c r="K257" s="185">
        <f t="shared" ref="K257:N258" si="83">K261</f>
        <v>1000</v>
      </c>
      <c r="L257" s="185">
        <f t="shared" si="83"/>
        <v>1000</v>
      </c>
      <c r="M257" s="185">
        <f t="shared" si="83"/>
        <v>0</v>
      </c>
      <c r="N257" s="185">
        <f t="shared" si="83"/>
        <v>0</v>
      </c>
    </row>
    <row r="258" spans="1:14" s="135" customFormat="1" hidden="1">
      <c r="A258" s="1403"/>
      <c r="B258" s="1404"/>
      <c r="C258" s="1405"/>
      <c r="D258" s="183" t="s">
        <v>22</v>
      </c>
      <c r="E258" s="185">
        <f t="shared" si="82"/>
        <v>0</v>
      </c>
      <c r="F258" s="185">
        <f t="shared" si="82"/>
        <v>0</v>
      </c>
      <c r="G258" s="186">
        <f t="shared" si="82"/>
        <v>0</v>
      </c>
      <c r="H258" s="158"/>
      <c r="I258" s="1406"/>
      <c r="J258" s="187" t="s">
        <v>22</v>
      </c>
      <c r="K258" s="185">
        <f t="shared" si="83"/>
        <v>0</v>
      </c>
      <c r="L258" s="185">
        <f t="shared" si="83"/>
        <v>0</v>
      </c>
      <c r="M258" s="185">
        <f t="shared" si="83"/>
        <v>0</v>
      </c>
      <c r="N258" s="185">
        <f t="shared" si="83"/>
        <v>0</v>
      </c>
    </row>
    <row r="259" spans="1:14" s="135" customFormat="1" hidden="1">
      <c r="A259" s="1403"/>
      <c r="B259" s="1404"/>
      <c r="C259" s="1405"/>
      <c r="D259" s="183" t="s">
        <v>23</v>
      </c>
      <c r="E259" s="185">
        <f>E257+E258</f>
        <v>1000</v>
      </c>
      <c r="F259" s="185">
        <f>F257+F258</f>
        <v>1000</v>
      </c>
      <c r="G259" s="186">
        <f>G257+G258</f>
        <v>0</v>
      </c>
      <c r="H259" s="158"/>
      <c r="I259" s="1406"/>
      <c r="J259" s="187" t="s">
        <v>23</v>
      </c>
      <c r="K259" s="185">
        <f>K257+K258</f>
        <v>1000</v>
      </c>
      <c r="L259" s="185">
        <f>L257+L258</f>
        <v>1000</v>
      </c>
      <c r="M259" s="185">
        <f>M257+M258</f>
        <v>0</v>
      </c>
      <c r="N259" s="185">
        <f>N257+N258</f>
        <v>0</v>
      </c>
    </row>
    <row r="260" spans="1:14" ht="4.5" hidden="1" customHeight="1">
      <c r="A260" s="146"/>
      <c r="B260" s="189"/>
      <c r="C260" s="148"/>
      <c r="D260" s="149"/>
      <c r="E260" s="241"/>
      <c r="F260" s="241"/>
      <c r="G260" s="242"/>
      <c r="H260" s="158"/>
      <c r="I260" s="193"/>
      <c r="J260" s="194"/>
      <c r="K260" s="191"/>
      <c r="L260" s="191"/>
      <c r="M260" s="191"/>
      <c r="N260" s="191"/>
    </row>
    <row r="261" spans="1:14" s="200" customFormat="1" ht="13.9" hidden="1" customHeight="1">
      <c r="A261" s="1407">
        <v>5</v>
      </c>
      <c r="B261" s="1408" t="s">
        <v>448</v>
      </c>
      <c r="C261" s="1408"/>
      <c r="D261" s="195" t="s">
        <v>21</v>
      </c>
      <c r="E261" s="197">
        <f t="shared" ref="E261:G262" si="84">E265</f>
        <v>1000</v>
      </c>
      <c r="F261" s="197">
        <f t="shared" si="84"/>
        <v>1000</v>
      </c>
      <c r="G261" s="198">
        <f t="shared" si="84"/>
        <v>0</v>
      </c>
      <c r="H261" s="158"/>
      <c r="I261" s="1409" t="s">
        <v>448</v>
      </c>
      <c r="J261" s="199" t="s">
        <v>21</v>
      </c>
      <c r="K261" s="197">
        <f t="shared" ref="K261:N262" si="85">K265+K269</f>
        <v>1000</v>
      </c>
      <c r="L261" s="197">
        <f t="shared" si="85"/>
        <v>1000</v>
      </c>
      <c r="M261" s="197">
        <f t="shared" si="85"/>
        <v>0</v>
      </c>
      <c r="N261" s="197">
        <f t="shared" si="85"/>
        <v>0</v>
      </c>
    </row>
    <row r="262" spans="1:14" s="200" customFormat="1" ht="13.5" hidden="1">
      <c r="A262" s="1407"/>
      <c r="B262" s="1408"/>
      <c r="C262" s="1408"/>
      <c r="D262" s="195" t="s">
        <v>22</v>
      </c>
      <c r="E262" s="197">
        <f t="shared" si="84"/>
        <v>0</v>
      </c>
      <c r="F262" s="197">
        <f t="shared" si="84"/>
        <v>0</v>
      </c>
      <c r="G262" s="198">
        <f t="shared" si="84"/>
        <v>0</v>
      </c>
      <c r="H262" s="158"/>
      <c r="I262" s="1409"/>
      <c r="J262" s="199" t="s">
        <v>22</v>
      </c>
      <c r="K262" s="197">
        <f t="shared" si="85"/>
        <v>0</v>
      </c>
      <c r="L262" s="197">
        <f t="shared" si="85"/>
        <v>0</v>
      </c>
      <c r="M262" s="197">
        <f t="shared" si="85"/>
        <v>0</v>
      </c>
      <c r="N262" s="197">
        <f t="shared" si="85"/>
        <v>0</v>
      </c>
    </row>
    <row r="263" spans="1:14" s="200" customFormat="1" ht="13.5" hidden="1">
      <c r="A263" s="1407"/>
      <c r="B263" s="1408"/>
      <c r="C263" s="1408"/>
      <c r="D263" s="195" t="s">
        <v>23</v>
      </c>
      <c r="E263" s="197">
        <f>E261+E262</f>
        <v>1000</v>
      </c>
      <c r="F263" s="197">
        <f>F261+F262</f>
        <v>1000</v>
      </c>
      <c r="G263" s="198">
        <f>G261+G262</f>
        <v>0</v>
      </c>
      <c r="H263" s="158"/>
      <c r="I263" s="1409"/>
      <c r="J263" s="199" t="s">
        <v>23</v>
      </c>
      <c r="K263" s="197">
        <f>K261+K262</f>
        <v>1000</v>
      </c>
      <c r="L263" s="197">
        <f>L261+L262</f>
        <v>1000</v>
      </c>
      <c r="M263" s="197">
        <f>M261+M262</f>
        <v>0</v>
      </c>
      <c r="N263" s="197">
        <f>N261+N262</f>
        <v>0</v>
      </c>
    </row>
    <row r="264" spans="1:14" s="135" customFormat="1" ht="4.5" hidden="1" customHeight="1">
      <c r="A264" s="181"/>
      <c r="B264" s="182"/>
      <c r="C264" s="243"/>
      <c r="D264" s="244"/>
      <c r="E264" s="245"/>
      <c r="F264" s="185"/>
      <c r="G264" s="186"/>
      <c r="H264" s="158"/>
      <c r="I264" s="246"/>
      <c r="J264" s="247"/>
      <c r="K264" s="245"/>
      <c r="L264" s="248"/>
      <c r="M264" s="248"/>
      <c r="N264" s="248"/>
    </row>
    <row r="265" spans="1:14" ht="13.15" hidden="1" customHeight="1">
      <c r="A265" s="1397"/>
      <c r="B265" s="1397"/>
      <c r="C265" s="1398" t="s">
        <v>423</v>
      </c>
      <c r="D265" s="149" t="s">
        <v>21</v>
      </c>
      <c r="E265" s="216">
        <f>F265+G265</f>
        <v>1000</v>
      </c>
      <c r="F265" s="191">
        <v>1000</v>
      </c>
      <c r="G265" s="192">
        <v>0</v>
      </c>
      <c r="H265" s="158"/>
      <c r="I265" s="1399" t="s">
        <v>18</v>
      </c>
      <c r="J265" s="194" t="s">
        <v>21</v>
      </c>
      <c r="K265" s="216">
        <f>L265+M265+N265</f>
        <v>1000</v>
      </c>
      <c r="L265" s="191">
        <v>1000</v>
      </c>
      <c r="M265" s="191">
        <v>0</v>
      </c>
      <c r="N265" s="191">
        <v>0</v>
      </c>
    </row>
    <row r="266" spans="1:14" hidden="1">
      <c r="A266" s="1397"/>
      <c r="B266" s="1397"/>
      <c r="C266" s="1398"/>
      <c r="D266" s="175" t="s">
        <v>22</v>
      </c>
      <c r="E266" s="216">
        <f>F266+G266</f>
        <v>0</v>
      </c>
      <c r="F266" s="177"/>
      <c r="G266" s="178"/>
      <c r="H266" s="158"/>
      <c r="I266" s="1399"/>
      <c r="J266" s="194" t="s">
        <v>22</v>
      </c>
      <c r="K266" s="216">
        <f>L266+M266+N266</f>
        <v>0</v>
      </c>
      <c r="L266" s="177"/>
      <c r="M266" s="177"/>
      <c r="N266" s="177"/>
    </row>
    <row r="267" spans="1:14" hidden="1">
      <c r="A267" s="1397"/>
      <c r="B267" s="1397"/>
      <c r="C267" s="1398"/>
      <c r="D267" s="175" t="s">
        <v>23</v>
      </c>
      <c r="E267" s="266">
        <f>E265+E266</f>
        <v>1000</v>
      </c>
      <c r="F267" s="266">
        <f>F265+F266</f>
        <v>1000</v>
      </c>
      <c r="G267" s="267">
        <f>G265+G266</f>
        <v>0</v>
      </c>
      <c r="H267" s="158"/>
      <c r="I267" s="1399"/>
      <c r="J267" s="194" t="s">
        <v>23</v>
      </c>
      <c r="K267" s="216">
        <f>K265+K266</f>
        <v>1000</v>
      </c>
      <c r="L267" s="216">
        <f>L265+L266</f>
        <v>1000</v>
      </c>
      <c r="M267" s="216">
        <f>M265+M266</f>
        <v>0</v>
      </c>
      <c r="N267" s="216">
        <f>N265+N266</f>
        <v>0</v>
      </c>
    </row>
    <row r="268" spans="1:14" ht="4.5" hidden="1" customHeight="1">
      <c r="A268" s="172"/>
      <c r="B268" s="173"/>
      <c r="C268" s="174"/>
      <c r="D268" s="175"/>
      <c r="E268" s="266"/>
      <c r="F268" s="177"/>
      <c r="G268" s="178"/>
      <c r="H268" s="158"/>
      <c r="I268" s="179"/>
      <c r="J268" s="225"/>
      <c r="K268" s="221"/>
      <c r="L268" s="177"/>
      <c r="M268" s="177"/>
      <c r="N268" s="177"/>
    </row>
    <row r="269" spans="1:14" s="135" customFormat="1" ht="13.15" hidden="1" customHeight="1">
      <c r="A269" s="1403"/>
      <c r="B269" s="1403"/>
      <c r="C269" s="1418" t="s">
        <v>239</v>
      </c>
      <c r="D269" s="1418"/>
      <c r="E269" s="1419" t="s">
        <v>239</v>
      </c>
      <c r="F269" s="1419" t="s">
        <v>239</v>
      </c>
      <c r="G269" s="1410" t="s">
        <v>239</v>
      </c>
      <c r="H269" s="158"/>
      <c r="I269" s="1399" t="s">
        <v>428</v>
      </c>
      <c r="J269" s="214" t="s">
        <v>21</v>
      </c>
      <c r="K269" s="213">
        <f>L269+M269+N269</f>
        <v>0</v>
      </c>
      <c r="L269" s="191">
        <v>0</v>
      </c>
      <c r="M269" s="191">
        <v>0</v>
      </c>
      <c r="N269" s="191">
        <v>0</v>
      </c>
    </row>
    <row r="270" spans="1:14" s="135" customFormat="1" hidden="1">
      <c r="A270" s="1403"/>
      <c r="B270" s="1403"/>
      <c r="C270" s="1418"/>
      <c r="D270" s="1418"/>
      <c r="E270" s="1419"/>
      <c r="F270" s="1419"/>
      <c r="G270" s="1410"/>
      <c r="H270" s="158"/>
      <c r="I270" s="1399"/>
      <c r="J270" s="214" t="s">
        <v>22</v>
      </c>
      <c r="K270" s="213">
        <f>L270+M270+N270</f>
        <v>0</v>
      </c>
      <c r="L270" s="215"/>
      <c r="M270" s="215"/>
      <c r="N270" s="215"/>
    </row>
    <row r="271" spans="1:14" s="135" customFormat="1" hidden="1">
      <c r="A271" s="1403"/>
      <c r="B271" s="1403"/>
      <c r="C271" s="1418"/>
      <c r="D271" s="1418"/>
      <c r="E271" s="1419"/>
      <c r="F271" s="1419"/>
      <c r="G271" s="1410"/>
      <c r="H271" s="158"/>
      <c r="I271" s="1399"/>
      <c r="J271" s="214" t="s">
        <v>23</v>
      </c>
      <c r="K271" s="213">
        <f>K269+K270</f>
        <v>0</v>
      </c>
      <c r="L271" s="213">
        <f>L269+L270</f>
        <v>0</v>
      </c>
      <c r="M271" s="213">
        <f>M269+M270</f>
        <v>0</v>
      </c>
      <c r="N271" s="213">
        <f>N269+N270</f>
        <v>0</v>
      </c>
    </row>
    <row r="272" spans="1:14" s="135" customFormat="1" ht="4.5" hidden="1" customHeight="1">
      <c r="A272" s="283"/>
      <c r="B272" s="283"/>
      <c r="C272" s="284"/>
      <c r="D272" s="284"/>
      <c r="E272" s="256"/>
      <c r="F272" s="256"/>
      <c r="G272" s="257"/>
      <c r="H272" s="158"/>
      <c r="I272" s="238"/>
      <c r="J272" s="214"/>
      <c r="K272" s="213"/>
      <c r="L272" s="215"/>
      <c r="M272" s="215"/>
      <c r="N272" s="215"/>
    </row>
    <row r="273" spans="1:14" s="167" customFormat="1" ht="13.9" hidden="1" customHeight="1">
      <c r="A273" s="1411"/>
      <c r="B273" s="1412" t="s">
        <v>449</v>
      </c>
      <c r="C273" s="1413" t="s">
        <v>186</v>
      </c>
      <c r="D273" s="164" t="s">
        <v>21</v>
      </c>
      <c r="E273" s="31">
        <f t="shared" ref="E273:G274" si="86">E277</f>
        <v>3071280</v>
      </c>
      <c r="F273" s="31">
        <f t="shared" si="86"/>
        <v>3071280</v>
      </c>
      <c r="G273" s="165">
        <f t="shared" si="86"/>
        <v>0</v>
      </c>
      <c r="H273" s="155"/>
      <c r="I273" s="1414" t="s">
        <v>186</v>
      </c>
      <c r="J273" s="166" t="s">
        <v>21</v>
      </c>
      <c r="K273" s="31">
        <f t="shared" ref="K273:N274" si="87">K277</f>
        <v>3071280</v>
      </c>
      <c r="L273" s="31">
        <f t="shared" si="87"/>
        <v>3071280</v>
      </c>
      <c r="M273" s="31">
        <f t="shared" si="87"/>
        <v>0</v>
      </c>
      <c r="N273" s="31">
        <f t="shared" si="87"/>
        <v>0</v>
      </c>
    </row>
    <row r="274" spans="1:14" s="167" customFormat="1" ht="14.25" hidden="1">
      <c r="A274" s="1411"/>
      <c r="B274" s="1412"/>
      <c r="C274" s="1413"/>
      <c r="D274" s="164" t="s">
        <v>22</v>
      </c>
      <c r="E274" s="31">
        <f t="shared" si="86"/>
        <v>0</v>
      </c>
      <c r="F274" s="31">
        <f t="shared" si="86"/>
        <v>0</v>
      </c>
      <c r="G274" s="165">
        <f t="shared" si="86"/>
        <v>0</v>
      </c>
      <c r="H274" s="158"/>
      <c r="I274" s="1414"/>
      <c r="J274" s="166" t="s">
        <v>22</v>
      </c>
      <c r="K274" s="31">
        <f t="shared" si="87"/>
        <v>0</v>
      </c>
      <c r="L274" s="31">
        <f t="shared" si="87"/>
        <v>0</v>
      </c>
      <c r="M274" s="31">
        <f t="shared" si="87"/>
        <v>0</v>
      </c>
      <c r="N274" s="31">
        <f t="shared" si="87"/>
        <v>0</v>
      </c>
    </row>
    <row r="275" spans="1:14" s="167" customFormat="1" ht="14.25" hidden="1">
      <c r="A275" s="1411"/>
      <c r="B275" s="1412"/>
      <c r="C275" s="1413"/>
      <c r="D275" s="164" t="s">
        <v>23</v>
      </c>
      <c r="E275" s="31">
        <f>E273+E274</f>
        <v>3071280</v>
      </c>
      <c r="F275" s="31">
        <f>F273+F274</f>
        <v>3071280</v>
      </c>
      <c r="G275" s="165">
        <f>G273+G274</f>
        <v>0</v>
      </c>
      <c r="H275" s="160"/>
      <c r="I275" s="1414"/>
      <c r="J275" s="166" t="s">
        <v>23</v>
      </c>
      <c r="K275" s="31">
        <f>K273+K274</f>
        <v>3071280</v>
      </c>
      <c r="L275" s="31">
        <f>L273+L274</f>
        <v>3071280</v>
      </c>
      <c r="M275" s="31">
        <f>M273+M274</f>
        <v>0</v>
      </c>
      <c r="N275" s="31">
        <f>N273+N274</f>
        <v>0</v>
      </c>
    </row>
    <row r="276" spans="1:14" ht="4.5" hidden="1" customHeight="1">
      <c r="A276" s="172"/>
      <c r="B276" s="173"/>
      <c r="C276" s="174"/>
      <c r="D276" s="175"/>
      <c r="E276" s="239"/>
      <c r="F276" s="239"/>
      <c r="G276" s="240"/>
      <c r="H276" s="158"/>
      <c r="I276" s="179"/>
      <c r="J276" s="194"/>
      <c r="K276" s="191"/>
      <c r="L276" s="191"/>
      <c r="M276" s="191"/>
      <c r="N276" s="191"/>
    </row>
    <row r="277" spans="1:14" s="135" customFormat="1" ht="13.15" hidden="1" customHeight="1">
      <c r="A277" s="1403"/>
      <c r="B277" s="1404" t="s">
        <v>450</v>
      </c>
      <c r="C277" s="1405" t="s">
        <v>187</v>
      </c>
      <c r="D277" s="183" t="s">
        <v>21</v>
      </c>
      <c r="E277" s="185">
        <f t="shared" ref="E277:G278" si="88">E281+E289</f>
        <v>3071280</v>
      </c>
      <c r="F277" s="185">
        <f t="shared" si="88"/>
        <v>3071280</v>
      </c>
      <c r="G277" s="186">
        <f t="shared" si="88"/>
        <v>0</v>
      </c>
      <c r="H277" s="158"/>
      <c r="I277" s="1406" t="s">
        <v>187</v>
      </c>
      <c r="J277" s="187" t="s">
        <v>21</v>
      </c>
      <c r="K277" s="185">
        <f t="shared" ref="K277:N278" si="89">K281+K289</f>
        <v>3071280</v>
      </c>
      <c r="L277" s="185">
        <f t="shared" si="89"/>
        <v>3071280</v>
      </c>
      <c r="M277" s="185">
        <f t="shared" si="89"/>
        <v>0</v>
      </c>
      <c r="N277" s="185">
        <f t="shared" si="89"/>
        <v>0</v>
      </c>
    </row>
    <row r="278" spans="1:14" s="135" customFormat="1" hidden="1">
      <c r="A278" s="1403"/>
      <c r="B278" s="1404"/>
      <c r="C278" s="1405"/>
      <c r="D278" s="183" t="s">
        <v>22</v>
      </c>
      <c r="E278" s="185">
        <f t="shared" si="88"/>
        <v>0</v>
      </c>
      <c r="F278" s="185">
        <f t="shared" si="88"/>
        <v>0</v>
      </c>
      <c r="G278" s="186">
        <f t="shared" si="88"/>
        <v>0</v>
      </c>
      <c r="H278" s="158"/>
      <c r="I278" s="1406"/>
      <c r="J278" s="268" t="s">
        <v>22</v>
      </c>
      <c r="K278" s="185">
        <f t="shared" si="89"/>
        <v>0</v>
      </c>
      <c r="L278" s="185">
        <f t="shared" si="89"/>
        <v>0</v>
      </c>
      <c r="M278" s="185">
        <f t="shared" si="89"/>
        <v>0</v>
      </c>
      <c r="N278" s="185">
        <f t="shared" si="89"/>
        <v>0</v>
      </c>
    </row>
    <row r="279" spans="1:14" s="135" customFormat="1" hidden="1">
      <c r="A279" s="1403"/>
      <c r="B279" s="1404"/>
      <c r="C279" s="1405"/>
      <c r="D279" s="183" t="s">
        <v>23</v>
      </c>
      <c r="E279" s="185">
        <f>E277+E278</f>
        <v>3071280</v>
      </c>
      <c r="F279" s="185">
        <f>F277+F278</f>
        <v>3071280</v>
      </c>
      <c r="G279" s="186">
        <f>G277+G278</f>
        <v>0</v>
      </c>
      <c r="H279" s="158"/>
      <c r="I279" s="1406"/>
      <c r="J279" s="268" t="s">
        <v>23</v>
      </c>
      <c r="K279" s="185">
        <f>K277+K278</f>
        <v>3071280</v>
      </c>
      <c r="L279" s="185">
        <f>L277+L278</f>
        <v>3071280</v>
      </c>
      <c r="M279" s="185">
        <f>M277+M278</f>
        <v>0</v>
      </c>
      <c r="N279" s="185">
        <f>N277+N278</f>
        <v>0</v>
      </c>
    </row>
    <row r="280" spans="1:14" ht="4.5" hidden="1" customHeight="1">
      <c r="A280" s="146"/>
      <c r="B280" s="189"/>
      <c r="C280" s="148"/>
      <c r="D280" s="149"/>
      <c r="E280" s="241"/>
      <c r="F280" s="241"/>
      <c r="G280" s="242"/>
      <c r="H280" s="158"/>
      <c r="I280" s="193"/>
      <c r="J280" s="269"/>
      <c r="K280" s="191"/>
      <c r="L280" s="191"/>
      <c r="M280" s="191"/>
      <c r="N280" s="191"/>
    </row>
    <row r="281" spans="1:14" s="200" customFormat="1" ht="13.9" hidden="1" customHeight="1">
      <c r="A281" s="1407">
        <v>12</v>
      </c>
      <c r="B281" s="1408" t="s">
        <v>451</v>
      </c>
      <c r="C281" s="1408"/>
      <c r="D281" s="204" t="s">
        <v>21</v>
      </c>
      <c r="E281" s="270">
        <f t="shared" ref="E281:G282" si="90">E285</f>
        <v>430000</v>
      </c>
      <c r="F281" s="270">
        <f t="shared" si="90"/>
        <v>430000</v>
      </c>
      <c r="G281" s="271">
        <f t="shared" si="90"/>
        <v>0</v>
      </c>
      <c r="H281" s="158"/>
      <c r="I281" s="1409" t="s">
        <v>451</v>
      </c>
      <c r="J281" s="209" t="s">
        <v>21</v>
      </c>
      <c r="K281" s="270">
        <f t="shared" ref="K281:N282" si="91">K285</f>
        <v>430000</v>
      </c>
      <c r="L281" s="270">
        <f t="shared" si="91"/>
        <v>430000</v>
      </c>
      <c r="M281" s="270">
        <f t="shared" si="91"/>
        <v>0</v>
      </c>
      <c r="N281" s="270">
        <f t="shared" si="91"/>
        <v>0</v>
      </c>
    </row>
    <row r="282" spans="1:14" s="200" customFormat="1" ht="13.5" hidden="1">
      <c r="A282" s="1407"/>
      <c r="B282" s="1408"/>
      <c r="C282" s="1408"/>
      <c r="D282" s="204" t="s">
        <v>22</v>
      </c>
      <c r="E282" s="270">
        <f t="shared" si="90"/>
        <v>0</v>
      </c>
      <c r="F282" s="270">
        <f t="shared" si="90"/>
        <v>0</v>
      </c>
      <c r="G282" s="271">
        <f t="shared" si="90"/>
        <v>0</v>
      </c>
      <c r="H282" s="158"/>
      <c r="I282" s="1409"/>
      <c r="J282" s="209" t="s">
        <v>22</v>
      </c>
      <c r="K282" s="270">
        <f t="shared" si="91"/>
        <v>0</v>
      </c>
      <c r="L282" s="270">
        <f t="shared" si="91"/>
        <v>0</v>
      </c>
      <c r="M282" s="270">
        <f t="shared" si="91"/>
        <v>0</v>
      </c>
      <c r="N282" s="270">
        <f t="shared" si="91"/>
        <v>0</v>
      </c>
    </row>
    <row r="283" spans="1:14" s="200" customFormat="1" ht="13.5" hidden="1">
      <c r="A283" s="1407"/>
      <c r="B283" s="1408"/>
      <c r="C283" s="1408"/>
      <c r="D283" s="204" t="s">
        <v>23</v>
      </c>
      <c r="E283" s="270">
        <f>E281+E282</f>
        <v>430000</v>
      </c>
      <c r="F283" s="270">
        <f>F281+F282</f>
        <v>430000</v>
      </c>
      <c r="G283" s="271">
        <f>G281+G282</f>
        <v>0</v>
      </c>
      <c r="H283" s="158"/>
      <c r="I283" s="1409"/>
      <c r="J283" s="209" t="s">
        <v>23</v>
      </c>
      <c r="K283" s="270">
        <f>K281+K282</f>
        <v>430000</v>
      </c>
      <c r="L283" s="270">
        <f>L281+L282</f>
        <v>430000</v>
      </c>
      <c r="M283" s="270">
        <f>M281+M282</f>
        <v>0</v>
      </c>
      <c r="N283" s="270">
        <f>N281+N282</f>
        <v>0</v>
      </c>
    </row>
    <row r="284" spans="1:14" s="135" customFormat="1" hidden="1">
      <c r="A284" s="181"/>
      <c r="B284" s="182"/>
      <c r="C284" s="243"/>
      <c r="D284" s="244"/>
      <c r="E284" s="245"/>
      <c r="F284" s="185"/>
      <c r="G284" s="186"/>
      <c r="H284" s="158"/>
      <c r="I284" s="246"/>
      <c r="J284" s="247"/>
      <c r="K284" s="245"/>
      <c r="L284" s="248"/>
      <c r="M284" s="248"/>
      <c r="N284" s="248"/>
    </row>
    <row r="285" spans="1:14" ht="13.15" hidden="1" customHeight="1">
      <c r="A285" s="1397"/>
      <c r="B285" s="1397"/>
      <c r="C285" s="1398" t="s">
        <v>423</v>
      </c>
      <c r="D285" s="212" t="s">
        <v>21</v>
      </c>
      <c r="E285" s="213">
        <f>F285+G285</f>
        <v>430000</v>
      </c>
      <c r="F285" s="191">
        <v>430000</v>
      </c>
      <c r="G285" s="192">
        <v>0</v>
      </c>
      <c r="H285" s="158"/>
      <c r="I285" s="1399" t="s">
        <v>442</v>
      </c>
      <c r="J285" s="214" t="s">
        <v>21</v>
      </c>
      <c r="K285" s="213">
        <f>L285+M285+N285</f>
        <v>430000</v>
      </c>
      <c r="L285" s="191">
        <v>430000</v>
      </c>
      <c r="M285" s="191">
        <v>0</v>
      </c>
      <c r="N285" s="191">
        <v>0</v>
      </c>
    </row>
    <row r="286" spans="1:14" hidden="1">
      <c r="A286" s="1397"/>
      <c r="B286" s="1397"/>
      <c r="C286" s="1398"/>
      <c r="D286" s="212" t="s">
        <v>22</v>
      </c>
      <c r="E286" s="213">
        <f>F286+G286</f>
        <v>0</v>
      </c>
      <c r="F286" s="191"/>
      <c r="G286" s="192"/>
      <c r="H286" s="158"/>
      <c r="I286" s="1399"/>
      <c r="J286" s="214" t="s">
        <v>22</v>
      </c>
      <c r="K286" s="213">
        <f>L286+M286+N286</f>
        <v>0</v>
      </c>
      <c r="L286" s="191"/>
      <c r="M286" s="191"/>
      <c r="N286" s="191"/>
    </row>
    <row r="287" spans="1:14" hidden="1">
      <c r="A287" s="1397"/>
      <c r="B287" s="1397"/>
      <c r="C287" s="1398"/>
      <c r="D287" s="212" t="s">
        <v>23</v>
      </c>
      <c r="E287" s="213">
        <f>E285+E286</f>
        <v>430000</v>
      </c>
      <c r="F287" s="213">
        <f>F285+F286</f>
        <v>430000</v>
      </c>
      <c r="G287" s="233">
        <f>G285+G286</f>
        <v>0</v>
      </c>
      <c r="H287" s="158"/>
      <c r="I287" s="1399"/>
      <c r="J287" s="214" t="s">
        <v>23</v>
      </c>
      <c r="K287" s="213">
        <f>K285+K286</f>
        <v>430000</v>
      </c>
      <c r="L287" s="213">
        <f>L285+L286</f>
        <v>430000</v>
      </c>
      <c r="M287" s="213">
        <f>M285+M286</f>
        <v>0</v>
      </c>
      <c r="N287" s="213">
        <f>N285+N286</f>
        <v>0</v>
      </c>
    </row>
    <row r="288" spans="1:14" ht="4.9000000000000004" hidden="1" customHeight="1">
      <c r="A288" s="146"/>
      <c r="B288" s="189"/>
      <c r="C288" s="148"/>
      <c r="D288" s="149"/>
      <c r="E288" s="216"/>
      <c r="F288" s="241"/>
      <c r="G288" s="242"/>
      <c r="H288" s="158"/>
      <c r="I288" s="193"/>
      <c r="J288" s="194"/>
      <c r="K288" s="216"/>
      <c r="L288" s="191"/>
      <c r="M288" s="191"/>
      <c r="N288" s="191"/>
    </row>
    <row r="289" spans="1:14" s="200" customFormat="1" ht="13.9" hidden="1" customHeight="1">
      <c r="A289" s="1407">
        <v>6</v>
      </c>
      <c r="B289" s="1408" t="s">
        <v>452</v>
      </c>
      <c r="C289" s="1408"/>
      <c r="D289" s="195" t="s">
        <v>21</v>
      </c>
      <c r="E289" s="197">
        <f t="shared" ref="E289:G290" si="92">E293</f>
        <v>2641280</v>
      </c>
      <c r="F289" s="197">
        <f t="shared" si="92"/>
        <v>2641280</v>
      </c>
      <c r="G289" s="198">
        <f t="shared" si="92"/>
        <v>0</v>
      </c>
      <c r="H289" s="158"/>
      <c r="I289" s="1409" t="s">
        <v>452</v>
      </c>
      <c r="J289" s="199" t="s">
        <v>21</v>
      </c>
      <c r="K289" s="197">
        <f t="shared" ref="K289:N290" si="93">K293+K297</f>
        <v>2641280</v>
      </c>
      <c r="L289" s="197">
        <f t="shared" si="93"/>
        <v>2641280</v>
      </c>
      <c r="M289" s="197">
        <f t="shared" si="93"/>
        <v>0</v>
      </c>
      <c r="N289" s="197">
        <f t="shared" si="93"/>
        <v>0</v>
      </c>
    </row>
    <row r="290" spans="1:14" s="200" customFormat="1" ht="13.5" hidden="1">
      <c r="A290" s="1407"/>
      <c r="B290" s="1408"/>
      <c r="C290" s="1408"/>
      <c r="D290" s="195" t="s">
        <v>22</v>
      </c>
      <c r="E290" s="197">
        <f t="shared" si="92"/>
        <v>0</v>
      </c>
      <c r="F290" s="197">
        <f t="shared" si="92"/>
        <v>0</v>
      </c>
      <c r="G290" s="198">
        <f t="shared" si="92"/>
        <v>0</v>
      </c>
      <c r="H290" s="158"/>
      <c r="I290" s="1409"/>
      <c r="J290" s="199" t="s">
        <v>22</v>
      </c>
      <c r="K290" s="197">
        <f t="shared" si="93"/>
        <v>0</v>
      </c>
      <c r="L290" s="197">
        <f t="shared" si="93"/>
        <v>0</v>
      </c>
      <c r="M290" s="197">
        <f t="shared" si="93"/>
        <v>0</v>
      </c>
      <c r="N290" s="197">
        <f t="shared" si="93"/>
        <v>0</v>
      </c>
    </row>
    <row r="291" spans="1:14" s="200" customFormat="1" ht="13.5" hidden="1">
      <c r="A291" s="1407"/>
      <c r="B291" s="1408"/>
      <c r="C291" s="1408"/>
      <c r="D291" s="285" t="s">
        <v>23</v>
      </c>
      <c r="E291" s="197">
        <f>E289+E290</f>
        <v>2641280</v>
      </c>
      <c r="F291" s="197">
        <f>F289+F290</f>
        <v>2641280</v>
      </c>
      <c r="G291" s="198">
        <f>G289+G290</f>
        <v>0</v>
      </c>
      <c r="H291" s="160"/>
      <c r="I291" s="1409"/>
      <c r="J291" s="209" t="s">
        <v>23</v>
      </c>
      <c r="K291" s="197">
        <f>K289+K290</f>
        <v>2641280</v>
      </c>
      <c r="L291" s="197">
        <f>L289+L290</f>
        <v>2641280</v>
      </c>
      <c r="M291" s="197">
        <f>M289+M290</f>
        <v>0</v>
      </c>
      <c r="N291" s="197">
        <f>N289+N290</f>
        <v>0</v>
      </c>
    </row>
    <row r="292" spans="1:14" s="135" customFormat="1" ht="4.5" hidden="1" customHeight="1">
      <c r="A292" s="272"/>
      <c r="B292" s="286"/>
      <c r="C292" s="287"/>
      <c r="D292" s="261"/>
      <c r="E292" s="288"/>
      <c r="F292" s="263"/>
      <c r="G292" s="264"/>
      <c r="H292" s="160"/>
      <c r="I292" s="289"/>
      <c r="J292" s="290"/>
      <c r="K292" s="288"/>
      <c r="L292" s="291"/>
      <c r="M292" s="291"/>
      <c r="N292" s="291"/>
    </row>
    <row r="293" spans="1:14" ht="13.15" hidden="1" customHeight="1">
      <c r="A293" s="1415"/>
      <c r="B293" s="1415"/>
      <c r="C293" s="1416" t="s">
        <v>423</v>
      </c>
      <c r="D293" s="220" t="s">
        <v>21</v>
      </c>
      <c r="E293" s="221">
        <f>F293+G293</f>
        <v>2641280</v>
      </c>
      <c r="F293" s="177">
        <v>2641280</v>
      </c>
      <c r="G293" s="178">
        <v>0</v>
      </c>
      <c r="H293" s="158"/>
      <c r="I293" s="1417" t="s">
        <v>18</v>
      </c>
      <c r="J293" s="225" t="s">
        <v>21</v>
      </c>
      <c r="K293" s="221">
        <f>L293+M293+N293</f>
        <v>2287411</v>
      </c>
      <c r="L293" s="177">
        <v>2287411</v>
      </c>
      <c r="M293" s="177">
        <v>0</v>
      </c>
      <c r="N293" s="177">
        <v>0</v>
      </c>
    </row>
    <row r="294" spans="1:14" hidden="1">
      <c r="A294" s="1415"/>
      <c r="B294" s="1415"/>
      <c r="C294" s="1416"/>
      <c r="D294" s="212" t="s">
        <v>22</v>
      </c>
      <c r="E294" s="213">
        <f>F294+G294</f>
        <v>0</v>
      </c>
      <c r="F294" s="191"/>
      <c r="G294" s="192"/>
      <c r="H294" s="158"/>
      <c r="I294" s="1417"/>
      <c r="J294" s="214" t="s">
        <v>22</v>
      </c>
      <c r="K294" s="213">
        <f>L294+M294+N294</f>
        <v>0</v>
      </c>
      <c r="L294" s="191"/>
      <c r="M294" s="191"/>
      <c r="N294" s="191"/>
    </row>
    <row r="295" spans="1:14" hidden="1">
      <c r="A295" s="1415"/>
      <c r="B295" s="1415"/>
      <c r="C295" s="1416"/>
      <c r="D295" s="212" t="s">
        <v>23</v>
      </c>
      <c r="E295" s="213">
        <f>E293+E294</f>
        <v>2641280</v>
      </c>
      <c r="F295" s="213">
        <f>F293+F294</f>
        <v>2641280</v>
      </c>
      <c r="G295" s="233">
        <f>G293+G294</f>
        <v>0</v>
      </c>
      <c r="H295" s="158"/>
      <c r="I295" s="1417"/>
      <c r="J295" s="214" t="s">
        <v>23</v>
      </c>
      <c r="K295" s="213">
        <f>K293+K294</f>
        <v>2287411</v>
      </c>
      <c r="L295" s="213">
        <f>L293+L294</f>
        <v>2287411</v>
      </c>
      <c r="M295" s="213">
        <f>M293+M294</f>
        <v>0</v>
      </c>
      <c r="N295" s="213">
        <f>N293+N294</f>
        <v>0</v>
      </c>
    </row>
    <row r="296" spans="1:14" ht="4.5" hidden="1" customHeight="1">
      <c r="A296" s="146"/>
      <c r="B296" s="189"/>
      <c r="C296" s="148"/>
      <c r="D296" s="149"/>
      <c r="E296" s="216"/>
      <c r="F296" s="191"/>
      <c r="G296" s="192"/>
      <c r="H296" s="158"/>
      <c r="I296" s="193"/>
      <c r="J296" s="214"/>
      <c r="K296" s="213"/>
      <c r="L296" s="191"/>
      <c r="M296" s="191"/>
      <c r="N296" s="191"/>
    </row>
    <row r="297" spans="1:14" s="135" customFormat="1" ht="12.75" hidden="1" customHeight="1">
      <c r="A297" s="1403"/>
      <c r="B297" s="1403"/>
      <c r="C297" s="1418" t="s">
        <v>239</v>
      </c>
      <c r="D297" s="1418"/>
      <c r="E297" s="1419" t="s">
        <v>239</v>
      </c>
      <c r="F297" s="1419" t="s">
        <v>239</v>
      </c>
      <c r="G297" s="1410" t="s">
        <v>239</v>
      </c>
      <c r="H297" s="158"/>
      <c r="I297" s="1399" t="s">
        <v>428</v>
      </c>
      <c r="J297" s="214" t="s">
        <v>21</v>
      </c>
      <c r="K297" s="213">
        <f>L297+M297+N297</f>
        <v>353869</v>
      </c>
      <c r="L297" s="191">
        <v>353869</v>
      </c>
      <c r="M297" s="191">
        <v>0</v>
      </c>
      <c r="N297" s="191">
        <v>0</v>
      </c>
    </row>
    <row r="298" spans="1:14" s="135" customFormat="1" ht="12.75" hidden="1" customHeight="1">
      <c r="A298" s="1403"/>
      <c r="B298" s="1403"/>
      <c r="C298" s="1418"/>
      <c r="D298" s="1418"/>
      <c r="E298" s="1419"/>
      <c r="F298" s="1419"/>
      <c r="G298" s="1410"/>
      <c r="H298" s="158"/>
      <c r="I298" s="1399"/>
      <c r="J298" s="214" t="s">
        <v>22</v>
      </c>
      <c r="K298" s="213">
        <f>L298+M298+N298</f>
        <v>0</v>
      </c>
      <c r="L298" s="215"/>
      <c r="M298" s="215"/>
      <c r="N298" s="215"/>
    </row>
    <row r="299" spans="1:14" s="135" customFormat="1" ht="12.75" hidden="1" customHeight="1">
      <c r="A299" s="1403"/>
      <c r="B299" s="1403"/>
      <c r="C299" s="1418"/>
      <c r="D299" s="1418"/>
      <c r="E299" s="1419"/>
      <c r="F299" s="1419"/>
      <c r="G299" s="1410"/>
      <c r="H299" s="158"/>
      <c r="I299" s="1399"/>
      <c r="J299" s="214" t="s">
        <v>23</v>
      </c>
      <c r="K299" s="213">
        <f>K297+K298</f>
        <v>353869</v>
      </c>
      <c r="L299" s="213">
        <f>L297+L298</f>
        <v>353869</v>
      </c>
      <c r="M299" s="213">
        <f>M297+M298</f>
        <v>0</v>
      </c>
      <c r="N299" s="213">
        <f>N297+N298</f>
        <v>0</v>
      </c>
    </row>
    <row r="300" spans="1:14" s="135" customFormat="1" ht="9" hidden="1" customHeight="1">
      <c r="A300" s="283"/>
      <c r="B300" s="283"/>
      <c r="C300" s="284"/>
      <c r="D300" s="284"/>
      <c r="E300" s="256"/>
      <c r="F300" s="256"/>
      <c r="G300" s="257"/>
      <c r="H300" s="158"/>
      <c r="I300" s="238"/>
      <c r="J300" s="214"/>
      <c r="K300" s="213"/>
      <c r="L300" s="215"/>
      <c r="M300" s="215"/>
      <c r="N300" s="215"/>
    </row>
    <row r="301" spans="1:14" s="167" customFormat="1" ht="13.9" hidden="1" customHeight="1">
      <c r="A301" s="1411"/>
      <c r="B301" s="1412" t="s">
        <v>388</v>
      </c>
      <c r="C301" s="1413" t="s">
        <v>188</v>
      </c>
      <c r="D301" s="164" t="s">
        <v>21</v>
      </c>
      <c r="E301" s="31">
        <f t="shared" ref="E301:G302" si="94">E305+E317+E329</f>
        <v>932000</v>
      </c>
      <c r="F301" s="31">
        <f t="shared" si="94"/>
        <v>774000</v>
      </c>
      <c r="G301" s="165">
        <f t="shared" si="94"/>
        <v>158000</v>
      </c>
      <c r="H301" s="155"/>
      <c r="I301" s="1414" t="s">
        <v>188</v>
      </c>
      <c r="J301" s="166" t="s">
        <v>21</v>
      </c>
      <c r="K301" s="31">
        <f t="shared" ref="K301:N302" si="95">K305+K317+K329</f>
        <v>932000</v>
      </c>
      <c r="L301" s="31">
        <f t="shared" si="95"/>
        <v>774000</v>
      </c>
      <c r="M301" s="31">
        <f t="shared" si="95"/>
        <v>158000</v>
      </c>
      <c r="N301" s="31">
        <f t="shared" si="95"/>
        <v>0</v>
      </c>
    </row>
    <row r="302" spans="1:14" s="167" customFormat="1" ht="14.25" hidden="1">
      <c r="A302" s="1411"/>
      <c r="B302" s="1412"/>
      <c r="C302" s="1413"/>
      <c r="D302" s="168" t="s">
        <v>22</v>
      </c>
      <c r="E302" s="31">
        <f t="shared" si="94"/>
        <v>0</v>
      </c>
      <c r="F302" s="31">
        <f t="shared" si="94"/>
        <v>0</v>
      </c>
      <c r="G302" s="165">
        <f t="shared" si="94"/>
        <v>0</v>
      </c>
      <c r="H302" s="158"/>
      <c r="I302" s="1414"/>
      <c r="J302" s="169" t="s">
        <v>22</v>
      </c>
      <c r="K302" s="31">
        <f t="shared" si="95"/>
        <v>0</v>
      </c>
      <c r="L302" s="31">
        <f t="shared" si="95"/>
        <v>0</v>
      </c>
      <c r="M302" s="31">
        <f t="shared" si="95"/>
        <v>0</v>
      </c>
      <c r="N302" s="31">
        <f t="shared" si="95"/>
        <v>0</v>
      </c>
    </row>
    <row r="303" spans="1:14" s="167" customFormat="1" ht="14.25" hidden="1">
      <c r="A303" s="1411"/>
      <c r="B303" s="1412"/>
      <c r="C303" s="1413"/>
      <c r="D303" s="168" t="s">
        <v>23</v>
      </c>
      <c r="E303" s="250">
        <f>E301+E302</f>
        <v>932000</v>
      </c>
      <c r="F303" s="250">
        <f>F301+F302</f>
        <v>774000</v>
      </c>
      <c r="G303" s="251">
        <f>G301+G302</f>
        <v>158000</v>
      </c>
      <c r="H303" s="160"/>
      <c r="I303" s="1414"/>
      <c r="J303" s="169" t="s">
        <v>23</v>
      </c>
      <c r="K303" s="250">
        <f>K301+K302</f>
        <v>932000</v>
      </c>
      <c r="L303" s="250">
        <f>L301+L302</f>
        <v>774000</v>
      </c>
      <c r="M303" s="250">
        <f>M301+M302</f>
        <v>158000</v>
      </c>
      <c r="N303" s="250">
        <f>N301+N302</f>
        <v>0</v>
      </c>
    </row>
    <row r="304" spans="1:14" s="167" customFormat="1" ht="14.25" hidden="1">
      <c r="A304" s="276"/>
      <c r="B304" s="277"/>
      <c r="C304" s="278"/>
      <c r="D304" s="168"/>
      <c r="E304" s="250"/>
      <c r="F304" s="250"/>
      <c r="G304" s="251"/>
      <c r="H304" s="158"/>
      <c r="I304" s="279"/>
      <c r="J304" s="169"/>
      <c r="K304" s="250"/>
      <c r="L304" s="250"/>
      <c r="M304" s="250"/>
      <c r="N304" s="250"/>
    </row>
    <row r="305" spans="1:14" s="135" customFormat="1" ht="13.15" hidden="1" customHeight="1">
      <c r="A305" s="1403"/>
      <c r="B305" s="1404" t="s">
        <v>389</v>
      </c>
      <c r="C305" s="1405" t="s">
        <v>191</v>
      </c>
      <c r="D305" s="183" t="s">
        <v>21</v>
      </c>
      <c r="E305" s="185">
        <f t="shared" ref="E305:G306" si="96">E309</f>
        <v>295000</v>
      </c>
      <c r="F305" s="185">
        <f t="shared" si="96"/>
        <v>137000</v>
      </c>
      <c r="G305" s="186">
        <f t="shared" si="96"/>
        <v>158000</v>
      </c>
      <c r="H305" s="158"/>
      <c r="I305" s="1406" t="s">
        <v>191</v>
      </c>
      <c r="J305" s="187" t="s">
        <v>21</v>
      </c>
      <c r="K305" s="185">
        <f t="shared" ref="K305:N306" si="97">K309</f>
        <v>295000</v>
      </c>
      <c r="L305" s="185">
        <f t="shared" si="97"/>
        <v>137000</v>
      </c>
      <c r="M305" s="185">
        <f t="shared" si="97"/>
        <v>158000</v>
      </c>
      <c r="N305" s="185">
        <f t="shared" si="97"/>
        <v>0</v>
      </c>
    </row>
    <row r="306" spans="1:14" s="135" customFormat="1" hidden="1">
      <c r="A306" s="1403"/>
      <c r="B306" s="1404"/>
      <c r="C306" s="1405"/>
      <c r="D306" s="183" t="s">
        <v>22</v>
      </c>
      <c r="E306" s="185">
        <f t="shared" si="96"/>
        <v>0</v>
      </c>
      <c r="F306" s="185">
        <f t="shared" si="96"/>
        <v>0</v>
      </c>
      <c r="G306" s="186">
        <f t="shared" si="96"/>
        <v>0</v>
      </c>
      <c r="H306" s="158"/>
      <c r="I306" s="1406"/>
      <c r="J306" s="187" t="s">
        <v>22</v>
      </c>
      <c r="K306" s="185">
        <f t="shared" si="97"/>
        <v>0</v>
      </c>
      <c r="L306" s="185">
        <f t="shared" si="97"/>
        <v>0</v>
      </c>
      <c r="M306" s="185">
        <f t="shared" si="97"/>
        <v>0</v>
      </c>
      <c r="N306" s="185">
        <f t="shared" si="97"/>
        <v>0</v>
      </c>
    </row>
    <row r="307" spans="1:14" s="135" customFormat="1" hidden="1">
      <c r="A307" s="1403"/>
      <c r="B307" s="1404"/>
      <c r="C307" s="1405"/>
      <c r="D307" s="183" t="s">
        <v>23</v>
      </c>
      <c r="E307" s="185">
        <f>E305+E306</f>
        <v>295000</v>
      </c>
      <c r="F307" s="185">
        <f>F305+F306</f>
        <v>137000</v>
      </c>
      <c r="G307" s="186">
        <f>G305+G306</f>
        <v>158000</v>
      </c>
      <c r="H307" s="158"/>
      <c r="I307" s="1406"/>
      <c r="J307" s="187" t="s">
        <v>23</v>
      </c>
      <c r="K307" s="185">
        <f>K305+K306</f>
        <v>295000</v>
      </c>
      <c r="L307" s="185">
        <f>L305+L306</f>
        <v>137000</v>
      </c>
      <c r="M307" s="185">
        <f>M305+M306</f>
        <v>158000</v>
      </c>
      <c r="N307" s="185">
        <f>N305+N306</f>
        <v>0</v>
      </c>
    </row>
    <row r="308" spans="1:14" hidden="1">
      <c r="A308" s="146"/>
      <c r="B308" s="292"/>
      <c r="C308" s="148"/>
      <c r="D308" s="149"/>
      <c r="E308" s="241"/>
      <c r="F308" s="241"/>
      <c r="G308" s="242"/>
      <c r="H308" s="158"/>
      <c r="I308" s="193"/>
      <c r="J308" s="194"/>
      <c r="K308" s="191"/>
      <c r="L308" s="191"/>
      <c r="M308" s="191"/>
      <c r="N308" s="191"/>
    </row>
    <row r="309" spans="1:14" s="200" customFormat="1" ht="13.9" hidden="1" customHeight="1">
      <c r="A309" s="1407">
        <v>14</v>
      </c>
      <c r="B309" s="1408" t="s">
        <v>453</v>
      </c>
      <c r="C309" s="1408"/>
      <c r="D309" s="195" t="s">
        <v>21</v>
      </c>
      <c r="E309" s="197">
        <f t="shared" ref="E309:G310" si="98">E313</f>
        <v>295000</v>
      </c>
      <c r="F309" s="197">
        <f t="shared" si="98"/>
        <v>137000</v>
      </c>
      <c r="G309" s="198">
        <f t="shared" si="98"/>
        <v>158000</v>
      </c>
      <c r="H309" s="158"/>
      <c r="I309" s="1409" t="s">
        <v>453</v>
      </c>
      <c r="J309" s="199" t="s">
        <v>21</v>
      </c>
      <c r="K309" s="197">
        <f t="shared" ref="K309:N310" si="99">K313</f>
        <v>295000</v>
      </c>
      <c r="L309" s="197">
        <f t="shared" si="99"/>
        <v>137000</v>
      </c>
      <c r="M309" s="197">
        <f t="shared" si="99"/>
        <v>158000</v>
      </c>
      <c r="N309" s="197">
        <f t="shared" si="99"/>
        <v>0</v>
      </c>
    </row>
    <row r="310" spans="1:14" s="200" customFormat="1" ht="13.5" hidden="1">
      <c r="A310" s="1407"/>
      <c r="B310" s="1408"/>
      <c r="C310" s="1408"/>
      <c r="D310" s="195" t="s">
        <v>22</v>
      </c>
      <c r="E310" s="197">
        <f t="shared" si="98"/>
        <v>0</v>
      </c>
      <c r="F310" s="197">
        <f t="shared" si="98"/>
        <v>0</v>
      </c>
      <c r="G310" s="198">
        <f t="shared" si="98"/>
        <v>0</v>
      </c>
      <c r="H310" s="158"/>
      <c r="I310" s="1409"/>
      <c r="J310" s="199" t="s">
        <v>22</v>
      </c>
      <c r="K310" s="197">
        <f t="shared" si="99"/>
        <v>0</v>
      </c>
      <c r="L310" s="197">
        <f t="shared" si="99"/>
        <v>0</v>
      </c>
      <c r="M310" s="197">
        <f t="shared" si="99"/>
        <v>0</v>
      </c>
      <c r="N310" s="197">
        <f t="shared" si="99"/>
        <v>0</v>
      </c>
    </row>
    <row r="311" spans="1:14" s="200" customFormat="1" ht="13.5" hidden="1">
      <c r="A311" s="1407"/>
      <c r="B311" s="1408"/>
      <c r="C311" s="1408"/>
      <c r="D311" s="195" t="s">
        <v>23</v>
      </c>
      <c r="E311" s="197">
        <f>E309+E310</f>
        <v>295000</v>
      </c>
      <c r="F311" s="197">
        <f>F309+F310</f>
        <v>137000</v>
      </c>
      <c r="G311" s="198">
        <f>G309+G310</f>
        <v>158000</v>
      </c>
      <c r="H311" s="158"/>
      <c r="I311" s="1409"/>
      <c r="J311" s="199" t="s">
        <v>23</v>
      </c>
      <c r="K311" s="197">
        <f>K309+K310</f>
        <v>295000</v>
      </c>
      <c r="L311" s="197">
        <f>L309+L310</f>
        <v>137000</v>
      </c>
      <c r="M311" s="197">
        <f>M309+M310</f>
        <v>158000</v>
      </c>
      <c r="N311" s="197">
        <f>N309+N310</f>
        <v>0</v>
      </c>
    </row>
    <row r="312" spans="1:14" s="135" customFormat="1" hidden="1">
      <c r="A312" s="181"/>
      <c r="B312" s="182"/>
      <c r="C312" s="243"/>
      <c r="D312" s="244"/>
      <c r="E312" s="245"/>
      <c r="F312" s="185"/>
      <c r="G312" s="186"/>
      <c r="H312" s="158"/>
      <c r="I312" s="246"/>
      <c r="J312" s="247"/>
      <c r="K312" s="245"/>
      <c r="L312" s="248"/>
      <c r="M312" s="248"/>
      <c r="N312" s="248"/>
    </row>
    <row r="313" spans="1:14" ht="13.15" hidden="1" customHeight="1">
      <c r="A313" s="1397"/>
      <c r="B313" s="1397"/>
      <c r="C313" s="1398" t="s">
        <v>423</v>
      </c>
      <c r="D313" s="212" t="s">
        <v>21</v>
      </c>
      <c r="E313" s="213">
        <f>F313+G313</f>
        <v>295000</v>
      </c>
      <c r="F313" s="191">
        <v>137000</v>
      </c>
      <c r="G313" s="192">
        <v>158000</v>
      </c>
      <c r="H313" s="158"/>
      <c r="I313" s="1399" t="s">
        <v>8</v>
      </c>
      <c r="J313" s="214" t="s">
        <v>21</v>
      </c>
      <c r="K313" s="213">
        <f>L313+M313+N313</f>
        <v>295000</v>
      </c>
      <c r="L313" s="191">
        <v>137000</v>
      </c>
      <c r="M313" s="191">
        <v>158000</v>
      </c>
      <c r="N313" s="191">
        <v>0</v>
      </c>
    </row>
    <row r="314" spans="1:14" hidden="1">
      <c r="A314" s="1397"/>
      <c r="B314" s="1397"/>
      <c r="C314" s="1398"/>
      <c r="D314" s="212" t="s">
        <v>22</v>
      </c>
      <c r="E314" s="213">
        <f>F314+G314</f>
        <v>0</v>
      </c>
      <c r="F314" s="191"/>
      <c r="G314" s="192"/>
      <c r="H314" s="158"/>
      <c r="I314" s="1399"/>
      <c r="J314" s="214" t="s">
        <v>22</v>
      </c>
      <c r="K314" s="213">
        <f>L314+M314+N314</f>
        <v>0</v>
      </c>
      <c r="L314" s="191"/>
      <c r="M314" s="191"/>
      <c r="N314" s="191"/>
    </row>
    <row r="315" spans="1:14" hidden="1">
      <c r="A315" s="1397"/>
      <c r="B315" s="1397"/>
      <c r="C315" s="1398"/>
      <c r="D315" s="212" t="s">
        <v>23</v>
      </c>
      <c r="E315" s="213">
        <f>E313+E314</f>
        <v>295000</v>
      </c>
      <c r="F315" s="213">
        <f>F313+F314</f>
        <v>137000</v>
      </c>
      <c r="G315" s="233">
        <f>G313+G314</f>
        <v>158000</v>
      </c>
      <c r="H315" s="158"/>
      <c r="I315" s="1399"/>
      <c r="J315" s="214" t="s">
        <v>23</v>
      </c>
      <c r="K315" s="213">
        <f>K313+K314</f>
        <v>295000</v>
      </c>
      <c r="L315" s="213">
        <f>L313+L314</f>
        <v>137000</v>
      </c>
      <c r="M315" s="213">
        <f>M313+M314</f>
        <v>158000</v>
      </c>
      <c r="N315" s="213">
        <f>N313+N314</f>
        <v>0</v>
      </c>
    </row>
    <row r="316" spans="1:14" hidden="1">
      <c r="A316" s="146"/>
      <c r="B316" s="189"/>
      <c r="C316" s="148"/>
      <c r="D316" s="149"/>
      <c r="E316" s="216"/>
      <c r="F316" s="241"/>
      <c r="G316" s="242"/>
      <c r="H316" s="158"/>
      <c r="I316" s="193"/>
      <c r="J316" s="194"/>
      <c r="K316" s="216"/>
      <c r="L316" s="191"/>
      <c r="M316" s="191"/>
      <c r="N316" s="191"/>
    </row>
    <row r="317" spans="1:14" s="135" customFormat="1" ht="13.15" hidden="1" customHeight="1">
      <c r="A317" s="1403"/>
      <c r="B317" s="1404" t="s">
        <v>454</v>
      </c>
      <c r="C317" s="1405" t="s">
        <v>192</v>
      </c>
      <c r="D317" s="183" t="s">
        <v>21</v>
      </c>
      <c r="E317" s="185">
        <f t="shared" ref="E317:G318" si="100">E321</f>
        <v>59000</v>
      </c>
      <c r="F317" s="185">
        <f t="shared" si="100"/>
        <v>59000</v>
      </c>
      <c r="G317" s="186">
        <f t="shared" si="100"/>
        <v>0</v>
      </c>
      <c r="H317" s="158"/>
      <c r="I317" s="1406" t="s">
        <v>192</v>
      </c>
      <c r="J317" s="187" t="s">
        <v>21</v>
      </c>
      <c r="K317" s="185">
        <f t="shared" ref="K317:N318" si="101">K321</f>
        <v>59000</v>
      </c>
      <c r="L317" s="185">
        <f t="shared" si="101"/>
        <v>59000</v>
      </c>
      <c r="M317" s="185">
        <f t="shared" si="101"/>
        <v>0</v>
      </c>
      <c r="N317" s="185">
        <f t="shared" si="101"/>
        <v>0</v>
      </c>
    </row>
    <row r="318" spans="1:14" s="135" customFormat="1" hidden="1">
      <c r="A318" s="1403"/>
      <c r="B318" s="1404"/>
      <c r="C318" s="1405"/>
      <c r="D318" s="183" t="s">
        <v>22</v>
      </c>
      <c r="E318" s="185">
        <f t="shared" si="100"/>
        <v>0</v>
      </c>
      <c r="F318" s="185">
        <f t="shared" si="100"/>
        <v>0</v>
      </c>
      <c r="G318" s="186">
        <f t="shared" si="100"/>
        <v>0</v>
      </c>
      <c r="H318" s="158"/>
      <c r="I318" s="1406"/>
      <c r="J318" s="187" t="s">
        <v>22</v>
      </c>
      <c r="K318" s="185">
        <f t="shared" si="101"/>
        <v>0</v>
      </c>
      <c r="L318" s="185">
        <f t="shared" si="101"/>
        <v>0</v>
      </c>
      <c r="M318" s="185">
        <f t="shared" si="101"/>
        <v>0</v>
      </c>
      <c r="N318" s="185">
        <f t="shared" si="101"/>
        <v>0</v>
      </c>
    </row>
    <row r="319" spans="1:14" s="135" customFormat="1" hidden="1">
      <c r="A319" s="1403"/>
      <c r="B319" s="1404"/>
      <c r="C319" s="1405"/>
      <c r="D319" s="183" t="s">
        <v>23</v>
      </c>
      <c r="E319" s="185">
        <f>E317+E318</f>
        <v>59000</v>
      </c>
      <c r="F319" s="185">
        <f>F317+F318</f>
        <v>59000</v>
      </c>
      <c r="G319" s="186">
        <f>G317+G318</f>
        <v>0</v>
      </c>
      <c r="H319" s="158"/>
      <c r="I319" s="1406"/>
      <c r="J319" s="187" t="s">
        <v>23</v>
      </c>
      <c r="K319" s="185">
        <f>K317+K318</f>
        <v>59000</v>
      </c>
      <c r="L319" s="185">
        <f>L317+L318</f>
        <v>59000</v>
      </c>
      <c r="M319" s="185">
        <f>M317+M318</f>
        <v>0</v>
      </c>
      <c r="N319" s="185">
        <f>N317+N318</f>
        <v>0</v>
      </c>
    </row>
    <row r="320" spans="1:14" hidden="1">
      <c r="A320" s="146"/>
      <c r="B320" s="189"/>
      <c r="C320" s="148"/>
      <c r="D320" s="149"/>
      <c r="E320" s="241"/>
      <c r="F320" s="241"/>
      <c r="G320" s="242"/>
      <c r="H320" s="158"/>
      <c r="I320" s="193"/>
      <c r="J320" s="194"/>
      <c r="K320" s="191"/>
      <c r="L320" s="191"/>
      <c r="M320" s="191"/>
      <c r="N320" s="191"/>
    </row>
    <row r="321" spans="1:14" s="200" customFormat="1" ht="13.9" hidden="1" customHeight="1">
      <c r="A321" s="1407">
        <v>15</v>
      </c>
      <c r="B321" s="1408" t="s">
        <v>455</v>
      </c>
      <c r="C321" s="1408"/>
      <c r="D321" s="195" t="s">
        <v>21</v>
      </c>
      <c r="E321" s="197">
        <f t="shared" ref="E321:G322" si="102">E325</f>
        <v>59000</v>
      </c>
      <c r="F321" s="197">
        <f t="shared" si="102"/>
        <v>59000</v>
      </c>
      <c r="G321" s="198">
        <f t="shared" si="102"/>
        <v>0</v>
      </c>
      <c r="H321" s="158"/>
      <c r="I321" s="1409" t="s">
        <v>455</v>
      </c>
      <c r="J321" s="199" t="s">
        <v>21</v>
      </c>
      <c r="K321" s="197">
        <f t="shared" ref="K321:N322" si="103">K325</f>
        <v>59000</v>
      </c>
      <c r="L321" s="197">
        <f t="shared" si="103"/>
        <v>59000</v>
      </c>
      <c r="M321" s="197">
        <f t="shared" si="103"/>
        <v>0</v>
      </c>
      <c r="N321" s="197">
        <f t="shared" si="103"/>
        <v>0</v>
      </c>
    </row>
    <row r="322" spans="1:14" s="200" customFormat="1" ht="13.5" hidden="1">
      <c r="A322" s="1407"/>
      <c r="B322" s="1408"/>
      <c r="C322" s="1408"/>
      <c r="D322" s="195" t="s">
        <v>22</v>
      </c>
      <c r="E322" s="197">
        <f t="shared" si="102"/>
        <v>0</v>
      </c>
      <c r="F322" s="197">
        <f t="shared" si="102"/>
        <v>0</v>
      </c>
      <c r="G322" s="198">
        <f t="shared" si="102"/>
        <v>0</v>
      </c>
      <c r="H322" s="158"/>
      <c r="I322" s="1409"/>
      <c r="J322" s="199" t="s">
        <v>22</v>
      </c>
      <c r="K322" s="197">
        <f t="shared" si="103"/>
        <v>0</v>
      </c>
      <c r="L322" s="197">
        <f t="shared" si="103"/>
        <v>0</v>
      </c>
      <c r="M322" s="197">
        <f t="shared" si="103"/>
        <v>0</v>
      </c>
      <c r="N322" s="197">
        <f t="shared" si="103"/>
        <v>0</v>
      </c>
    </row>
    <row r="323" spans="1:14" s="200" customFormat="1" ht="13.5" hidden="1">
      <c r="A323" s="1407"/>
      <c r="B323" s="1408"/>
      <c r="C323" s="1408"/>
      <c r="D323" s="195" t="s">
        <v>23</v>
      </c>
      <c r="E323" s="197">
        <f>E321+E322</f>
        <v>59000</v>
      </c>
      <c r="F323" s="197">
        <f>F321+F322</f>
        <v>59000</v>
      </c>
      <c r="G323" s="198">
        <f>G321+G322</f>
        <v>0</v>
      </c>
      <c r="H323" s="158"/>
      <c r="I323" s="1409"/>
      <c r="J323" s="199" t="s">
        <v>23</v>
      </c>
      <c r="K323" s="197">
        <f>K321+K322</f>
        <v>59000</v>
      </c>
      <c r="L323" s="197">
        <f>L321+L322</f>
        <v>59000</v>
      </c>
      <c r="M323" s="197">
        <f>M321+M322</f>
        <v>0</v>
      </c>
      <c r="N323" s="197">
        <f>N321+N322</f>
        <v>0</v>
      </c>
    </row>
    <row r="324" spans="1:14" s="135" customFormat="1" hidden="1">
      <c r="A324" s="181"/>
      <c r="B324" s="182"/>
      <c r="C324" s="243"/>
      <c r="D324" s="244"/>
      <c r="E324" s="245"/>
      <c r="F324" s="185"/>
      <c r="G324" s="186"/>
      <c r="H324" s="158"/>
      <c r="I324" s="246"/>
      <c r="J324" s="247"/>
      <c r="K324" s="245"/>
      <c r="L324" s="248"/>
      <c r="M324" s="248"/>
      <c r="N324" s="248"/>
    </row>
    <row r="325" spans="1:14" ht="13.15" hidden="1" customHeight="1">
      <c r="A325" s="1397"/>
      <c r="B325" s="1397"/>
      <c r="C325" s="1398" t="s">
        <v>423</v>
      </c>
      <c r="D325" s="212" t="s">
        <v>21</v>
      </c>
      <c r="E325" s="213">
        <f>F325+G325</f>
        <v>59000</v>
      </c>
      <c r="F325" s="191">
        <v>59000</v>
      </c>
      <c r="G325" s="192">
        <v>0</v>
      </c>
      <c r="H325" s="158"/>
      <c r="I325" s="1399" t="s">
        <v>8</v>
      </c>
      <c r="J325" s="214" t="s">
        <v>21</v>
      </c>
      <c r="K325" s="213">
        <f>L325+M325+N325</f>
        <v>59000</v>
      </c>
      <c r="L325" s="191">
        <v>59000</v>
      </c>
      <c r="M325" s="191">
        <v>0</v>
      </c>
      <c r="N325" s="191">
        <v>0</v>
      </c>
    </row>
    <row r="326" spans="1:14" hidden="1">
      <c r="A326" s="1397"/>
      <c r="B326" s="1397"/>
      <c r="C326" s="1398"/>
      <c r="D326" s="212" t="s">
        <v>22</v>
      </c>
      <c r="E326" s="213">
        <f>F326+G326</f>
        <v>0</v>
      </c>
      <c r="F326" s="191"/>
      <c r="G326" s="192"/>
      <c r="H326" s="158"/>
      <c r="I326" s="1399"/>
      <c r="J326" s="214" t="s">
        <v>22</v>
      </c>
      <c r="K326" s="213">
        <f>L326+M326+N326</f>
        <v>0</v>
      </c>
      <c r="L326" s="191"/>
      <c r="M326" s="191"/>
      <c r="N326" s="191"/>
    </row>
    <row r="327" spans="1:14" hidden="1">
      <c r="A327" s="1397"/>
      <c r="B327" s="1397"/>
      <c r="C327" s="1398"/>
      <c r="D327" s="212" t="s">
        <v>23</v>
      </c>
      <c r="E327" s="213">
        <f>E325+E326</f>
        <v>59000</v>
      </c>
      <c r="F327" s="213">
        <f>F325+F326</f>
        <v>59000</v>
      </c>
      <c r="G327" s="233">
        <f>G325+G326</f>
        <v>0</v>
      </c>
      <c r="H327" s="158"/>
      <c r="I327" s="1399"/>
      <c r="J327" s="214" t="s">
        <v>23</v>
      </c>
      <c r="K327" s="213">
        <f>K325+K326</f>
        <v>59000</v>
      </c>
      <c r="L327" s="213">
        <f>L325+L326</f>
        <v>59000</v>
      </c>
      <c r="M327" s="213">
        <f>M325+M326</f>
        <v>0</v>
      </c>
      <c r="N327" s="213">
        <f>N325+N326</f>
        <v>0</v>
      </c>
    </row>
    <row r="328" spans="1:14" ht="9" hidden="1" customHeight="1">
      <c r="A328" s="146"/>
      <c r="B328" s="146"/>
      <c r="C328" s="211"/>
      <c r="D328" s="149"/>
      <c r="E328" s="191"/>
      <c r="F328" s="191"/>
      <c r="G328" s="192"/>
      <c r="H328" s="158"/>
      <c r="I328" s="231"/>
      <c r="J328" s="194"/>
      <c r="K328" s="216"/>
      <c r="L328" s="191"/>
      <c r="M328" s="191"/>
      <c r="N328" s="191"/>
    </row>
    <row r="329" spans="1:14" s="135" customFormat="1" ht="13.15" hidden="1" customHeight="1">
      <c r="A329" s="1403"/>
      <c r="B329" s="1404" t="s">
        <v>392</v>
      </c>
      <c r="C329" s="1405" t="s">
        <v>37</v>
      </c>
      <c r="D329" s="183" t="s">
        <v>21</v>
      </c>
      <c r="E329" s="185">
        <f t="shared" ref="E329:G330" si="104">E333</f>
        <v>578000</v>
      </c>
      <c r="F329" s="185">
        <f t="shared" si="104"/>
        <v>578000</v>
      </c>
      <c r="G329" s="186">
        <f t="shared" si="104"/>
        <v>0</v>
      </c>
      <c r="H329" s="158"/>
      <c r="I329" s="1406" t="s">
        <v>37</v>
      </c>
      <c r="J329" s="247" t="s">
        <v>21</v>
      </c>
      <c r="K329" s="185">
        <f t="shared" ref="K329:N330" si="105">K333</f>
        <v>578000</v>
      </c>
      <c r="L329" s="185">
        <f t="shared" si="105"/>
        <v>578000</v>
      </c>
      <c r="M329" s="185">
        <f t="shared" si="105"/>
        <v>0</v>
      </c>
      <c r="N329" s="185">
        <f t="shared" si="105"/>
        <v>0</v>
      </c>
    </row>
    <row r="330" spans="1:14" s="135" customFormat="1" hidden="1">
      <c r="A330" s="1403"/>
      <c r="B330" s="1404"/>
      <c r="C330" s="1405"/>
      <c r="D330" s="183" t="s">
        <v>22</v>
      </c>
      <c r="E330" s="185">
        <f t="shared" si="104"/>
        <v>0</v>
      </c>
      <c r="F330" s="185">
        <f t="shared" si="104"/>
        <v>0</v>
      </c>
      <c r="G330" s="186">
        <f t="shared" si="104"/>
        <v>0</v>
      </c>
      <c r="H330" s="158"/>
      <c r="I330" s="1406"/>
      <c r="J330" s="247" t="s">
        <v>22</v>
      </c>
      <c r="K330" s="185">
        <f t="shared" si="105"/>
        <v>0</v>
      </c>
      <c r="L330" s="185">
        <f t="shared" si="105"/>
        <v>0</v>
      </c>
      <c r="M330" s="185">
        <f t="shared" si="105"/>
        <v>0</v>
      </c>
      <c r="N330" s="185">
        <f t="shared" si="105"/>
        <v>0</v>
      </c>
    </row>
    <row r="331" spans="1:14" s="135" customFormat="1" hidden="1">
      <c r="A331" s="1403"/>
      <c r="B331" s="1404"/>
      <c r="C331" s="1405"/>
      <c r="D331" s="244" t="s">
        <v>23</v>
      </c>
      <c r="E331" s="185">
        <f>E329+E330</f>
        <v>578000</v>
      </c>
      <c r="F331" s="185">
        <f>F329+F330</f>
        <v>578000</v>
      </c>
      <c r="G331" s="186">
        <f>G329+G330</f>
        <v>0</v>
      </c>
      <c r="H331" s="160"/>
      <c r="I331" s="1406"/>
      <c r="J331" s="247" t="s">
        <v>23</v>
      </c>
      <c r="K331" s="185">
        <f>K329+K330</f>
        <v>578000</v>
      </c>
      <c r="L331" s="185">
        <f>L329+L330</f>
        <v>578000</v>
      </c>
      <c r="M331" s="185">
        <f>M329+M330</f>
        <v>0</v>
      </c>
      <c r="N331" s="185">
        <f>N329+N330</f>
        <v>0</v>
      </c>
    </row>
    <row r="332" spans="1:14" ht="9" hidden="1" customHeight="1">
      <c r="A332" s="172"/>
      <c r="B332" s="173"/>
      <c r="C332" s="174"/>
      <c r="D332" s="175"/>
      <c r="E332" s="239"/>
      <c r="F332" s="239"/>
      <c r="G332" s="240"/>
      <c r="H332" s="158"/>
      <c r="I332" s="179"/>
      <c r="J332" s="180"/>
      <c r="K332" s="177"/>
      <c r="L332" s="177"/>
      <c r="M332" s="177"/>
      <c r="N332" s="177"/>
    </row>
    <row r="333" spans="1:14" s="200" customFormat="1" ht="13.9" hidden="1" customHeight="1">
      <c r="A333" s="1407">
        <v>8</v>
      </c>
      <c r="B333" s="1408" t="s">
        <v>456</v>
      </c>
      <c r="C333" s="1408"/>
      <c r="D333" s="204" t="s">
        <v>21</v>
      </c>
      <c r="E333" s="270">
        <f t="shared" ref="E333:G334" si="106">E337</f>
        <v>578000</v>
      </c>
      <c r="F333" s="270">
        <f t="shared" si="106"/>
        <v>578000</v>
      </c>
      <c r="G333" s="271">
        <f t="shared" si="106"/>
        <v>0</v>
      </c>
      <c r="H333" s="158"/>
      <c r="I333" s="1409" t="s">
        <v>456</v>
      </c>
      <c r="J333" s="209" t="s">
        <v>21</v>
      </c>
      <c r="K333" s="270">
        <f t="shared" ref="K333:N334" si="107">K337</f>
        <v>578000</v>
      </c>
      <c r="L333" s="270">
        <f t="shared" si="107"/>
        <v>578000</v>
      </c>
      <c r="M333" s="270">
        <f t="shared" si="107"/>
        <v>0</v>
      </c>
      <c r="N333" s="270">
        <f t="shared" si="107"/>
        <v>0</v>
      </c>
    </row>
    <row r="334" spans="1:14" s="200" customFormat="1" ht="13.5" hidden="1">
      <c r="A334" s="1407"/>
      <c r="B334" s="1408"/>
      <c r="C334" s="1408"/>
      <c r="D334" s="204" t="s">
        <v>22</v>
      </c>
      <c r="E334" s="270">
        <f t="shared" si="106"/>
        <v>0</v>
      </c>
      <c r="F334" s="270">
        <f t="shared" si="106"/>
        <v>0</v>
      </c>
      <c r="G334" s="271">
        <f t="shared" si="106"/>
        <v>0</v>
      </c>
      <c r="H334" s="158"/>
      <c r="I334" s="1409"/>
      <c r="J334" s="209" t="s">
        <v>22</v>
      </c>
      <c r="K334" s="270">
        <f t="shared" si="107"/>
        <v>0</v>
      </c>
      <c r="L334" s="270">
        <f t="shared" si="107"/>
        <v>0</v>
      </c>
      <c r="M334" s="270">
        <f t="shared" si="107"/>
        <v>0</v>
      </c>
      <c r="N334" s="270">
        <f t="shared" si="107"/>
        <v>0</v>
      </c>
    </row>
    <row r="335" spans="1:14" s="200" customFormat="1" ht="13.5" hidden="1">
      <c r="A335" s="1407"/>
      <c r="B335" s="1408"/>
      <c r="C335" s="1408"/>
      <c r="D335" s="204" t="s">
        <v>23</v>
      </c>
      <c r="E335" s="270">
        <f>E333+E334</f>
        <v>578000</v>
      </c>
      <c r="F335" s="270">
        <f>F333+F334</f>
        <v>578000</v>
      </c>
      <c r="G335" s="271">
        <f>G333+G334</f>
        <v>0</v>
      </c>
      <c r="H335" s="158"/>
      <c r="I335" s="1409"/>
      <c r="J335" s="209" t="s">
        <v>23</v>
      </c>
      <c r="K335" s="270">
        <f>K333+K334</f>
        <v>578000</v>
      </c>
      <c r="L335" s="270">
        <f>L333+L334</f>
        <v>578000</v>
      </c>
      <c r="M335" s="270">
        <f>M333+M334</f>
        <v>0</v>
      </c>
      <c r="N335" s="270">
        <f>N333+N334</f>
        <v>0</v>
      </c>
    </row>
    <row r="336" spans="1:14" s="135" customFormat="1" ht="9" hidden="1" customHeight="1">
      <c r="A336" s="181"/>
      <c r="B336" s="182"/>
      <c r="C336" s="243"/>
      <c r="D336" s="244"/>
      <c r="E336" s="245"/>
      <c r="F336" s="185"/>
      <c r="G336" s="186"/>
      <c r="H336" s="158"/>
      <c r="I336" s="246"/>
      <c r="J336" s="247"/>
      <c r="K336" s="245"/>
      <c r="L336" s="248"/>
      <c r="M336" s="248"/>
      <c r="N336" s="248"/>
    </row>
    <row r="337" spans="1:14" ht="13.15" hidden="1" customHeight="1">
      <c r="A337" s="1397"/>
      <c r="B337" s="1397"/>
      <c r="C337" s="1398" t="s">
        <v>423</v>
      </c>
      <c r="D337" s="212" t="s">
        <v>21</v>
      </c>
      <c r="E337" s="213">
        <f>F337+G337</f>
        <v>578000</v>
      </c>
      <c r="F337" s="191">
        <v>578000</v>
      </c>
      <c r="G337" s="192">
        <v>0</v>
      </c>
      <c r="H337" s="158"/>
      <c r="I337" s="1399" t="s">
        <v>18</v>
      </c>
      <c r="J337" s="214" t="s">
        <v>21</v>
      </c>
      <c r="K337" s="213">
        <f>L337+M337+N337</f>
        <v>578000</v>
      </c>
      <c r="L337" s="191">
        <v>578000</v>
      </c>
      <c r="M337" s="191">
        <v>0</v>
      </c>
      <c r="N337" s="191">
        <v>0</v>
      </c>
    </row>
    <row r="338" spans="1:14" hidden="1">
      <c r="A338" s="1397"/>
      <c r="B338" s="1397"/>
      <c r="C338" s="1398"/>
      <c r="D338" s="212" t="s">
        <v>22</v>
      </c>
      <c r="E338" s="213">
        <f>F338+G338</f>
        <v>0</v>
      </c>
      <c r="F338" s="215"/>
      <c r="G338" s="232"/>
      <c r="H338" s="158"/>
      <c r="I338" s="1399"/>
      <c r="J338" s="214" t="s">
        <v>22</v>
      </c>
      <c r="K338" s="213">
        <f>L338+M338+N338</f>
        <v>0</v>
      </c>
      <c r="L338" s="215"/>
      <c r="M338" s="215"/>
      <c r="N338" s="215"/>
    </row>
    <row r="339" spans="1:14" hidden="1">
      <c r="A339" s="1397"/>
      <c r="B339" s="1397"/>
      <c r="C339" s="1398"/>
      <c r="D339" s="212" t="s">
        <v>23</v>
      </c>
      <c r="E339" s="213">
        <f>E338+E337</f>
        <v>578000</v>
      </c>
      <c r="F339" s="213">
        <f>F338+F337</f>
        <v>578000</v>
      </c>
      <c r="G339" s="233">
        <f>G338+G337</f>
        <v>0</v>
      </c>
      <c r="H339" s="158"/>
      <c r="I339" s="1399"/>
      <c r="J339" s="214" t="s">
        <v>23</v>
      </c>
      <c r="K339" s="213">
        <f>K337+K338</f>
        <v>578000</v>
      </c>
      <c r="L339" s="213">
        <f>L337+L338</f>
        <v>578000</v>
      </c>
      <c r="M339" s="213">
        <f>M337+M338</f>
        <v>0</v>
      </c>
      <c r="N339" s="213">
        <f>N337+N338</f>
        <v>0</v>
      </c>
    </row>
    <row r="340" spans="1:14" ht="4.5" hidden="1" customHeight="1">
      <c r="A340" s="234"/>
      <c r="B340" s="254"/>
      <c r="C340" s="255"/>
      <c r="D340" s="212"/>
      <c r="E340" s="213"/>
      <c r="F340" s="256"/>
      <c r="G340" s="257"/>
      <c r="H340" s="158"/>
      <c r="I340" s="258"/>
      <c r="J340" s="214"/>
      <c r="K340" s="213"/>
      <c r="L340" s="215"/>
      <c r="M340" s="215"/>
      <c r="N340" s="215"/>
    </row>
    <row r="341" spans="1:14" s="157" customFormat="1" ht="15.6" customHeight="1">
      <c r="A341" s="1400"/>
      <c r="B341" s="1400"/>
      <c r="C341" s="1401" t="s">
        <v>20</v>
      </c>
      <c r="D341" s="153" t="s">
        <v>21</v>
      </c>
      <c r="E341" s="293">
        <f t="shared" ref="E341:G342" si="108">E13</f>
        <v>40622833.369999997</v>
      </c>
      <c r="F341" s="293">
        <f t="shared" si="108"/>
        <v>40464833.369999997</v>
      </c>
      <c r="G341" s="294">
        <f t="shared" si="108"/>
        <v>158000</v>
      </c>
      <c r="H341" s="295"/>
      <c r="I341" s="1402" t="s">
        <v>20</v>
      </c>
      <c r="J341" s="156" t="s">
        <v>21</v>
      </c>
      <c r="K341" s="154">
        <f t="shared" ref="K341:N342" si="109">K345+K349+K353+K357</f>
        <v>40622930.369999997</v>
      </c>
      <c r="L341" s="154">
        <f t="shared" si="109"/>
        <v>40464833.369999997</v>
      </c>
      <c r="M341" s="154">
        <f t="shared" si="109"/>
        <v>158000</v>
      </c>
      <c r="N341" s="154">
        <f t="shared" si="109"/>
        <v>97</v>
      </c>
    </row>
    <row r="342" spans="1:14" s="157" customFormat="1" ht="15.75">
      <c r="A342" s="1400"/>
      <c r="B342" s="1400"/>
      <c r="C342" s="1401"/>
      <c r="D342" s="153" t="s">
        <v>22</v>
      </c>
      <c r="E342" s="293">
        <f t="shared" si="108"/>
        <v>1493467.71</v>
      </c>
      <c r="F342" s="293">
        <f t="shared" si="108"/>
        <v>1493467.71</v>
      </c>
      <c r="G342" s="294" t="e">
        <f t="shared" si="108"/>
        <v>#VALUE!</v>
      </c>
      <c r="H342" s="295"/>
      <c r="I342" s="1402"/>
      <c r="J342" s="296" t="s">
        <v>22</v>
      </c>
      <c r="K342" s="154">
        <f t="shared" si="109"/>
        <v>1493467.71</v>
      </c>
      <c r="L342" s="154">
        <f t="shared" si="109"/>
        <v>1493467.71</v>
      </c>
      <c r="M342" s="154">
        <f t="shared" si="109"/>
        <v>0</v>
      </c>
      <c r="N342" s="154">
        <f t="shared" si="109"/>
        <v>0</v>
      </c>
    </row>
    <row r="343" spans="1:14" s="157" customFormat="1" ht="15.75">
      <c r="A343" s="1400"/>
      <c r="B343" s="1400"/>
      <c r="C343" s="1401"/>
      <c r="D343" s="153" t="s">
        <v>23</v>
      </c>
      <c r="E343" s="293">
        <f>E341+E342</f>
        <v>42116301.079999998</v>
      </c>
      <c r="F343" s="293">
        <f>F341+F342</f>
        <v>41958301.079999998</v>
      </c>
      <c r="G343" s="294" t="e">
        <f>G341+G342</f>
        <v>#VALUE!</v>
      </c>
      <c r="H343" s="290"/>
      <c r="I343" s="1402"/>
      <c r="J343" s="296" t="s">
        <v>23</v>
      </c>
      <c r="K343" s="297">
        <f>K341+K342</f>
        <v>42116398.079999998</v>
      </c>
      <c r="L343" s="297">
        <f>L341+L342</f>
        <v>41958301.079999998</v>
      </c>
      <c r="M343" s="297">
        <f>M341+M342</f>
        <v>158000</v>
      </c>
      <c r="N343" s="297">
        <f>N341+N342</f>
        <v>97</v>
      </c>
    </row>
    <row r="344" spans="1:14">
      <c r="A344" s="128" t="s">
        <v>5</v>
      </c>
      <c r="C344" s="298"/>
      <c r="D344" s="299"/>
      <c r="E344" s="300"/>
      <c r="F344" s="301"/>
      <c r="G344" s="301"/>
      <c r="H344" s="301"/>
      <c r="I344" s="302" t="s">
        <v>9</v>
      </c>
      <c r="J344" s="303"/>
      <c r="K344" s="176"/>
      <c r="L344" s="302"/>
      <c r="M344" s="302"/>
      <c r="N344" s="302"/>
    </row>
    <row r="345" spans="1:14" ht="13.15" customHeight="1">
      <c r="A345" s="128" t="s">
        <v>211</v>
      </c>
      <c r="C345" s="304"/>
      <c r="D345" s="305"/>
      <c r="E345" s="306"/>
      <c r="F345" s="307"/>
      <c r="G345" s="307"/>
      <c r="H345" s="307"/>
      <c r="I345" s="1396" t="s">
        <v>457</v>
      </c>
      <c r="J345" s="194" t="s">
        <v>21</v>
      </c>
      <c r="K345" s="190">
        <f t="shared" ref="K345:N346" si="110">K53+K81+K101+K117+K149+K265+K293+K337+K45</f>
        <v>3626311</v>
      </c>
      <c r="L345" s="190">
        <f t="shared" si="110"/>
        <v>3626311</v>
      </c>
      <c r="M345" s="190">
        <f t="shared" si="110"/>
        <v>0</v>
      </c>
      <c r="N345" s="190">
        <f t="shared" si="110"/>
        <v>0</v>
      </c>
    </row>
    <row r="346" spans="1:14">
      <c r="A346" s="128" t="s">
        <v>212</v>
      </c>
      <c r="C346" s="304"/>
      <c r="D346" s="305"/>
      <c r="E346" s="306"/>
      <c r="F346" s="307"/>
      <c r="G346" s="307"/>
      <c r="H346" s="307"/>
      <c r="I346" s="1396"/>
      <c r="J346" s="194" t="s">
        <v>22</v>
      </c>
      <c r="K346" s="190">
        <f t="shared" si="110"/>
        <v>0</v>
      </c>
      <c r="L346" s="190">
        <f t="shared" si="110"/>
        <v>0</v>
      </c>
      <c r="M346" s="190">
        <f t="shared" si="110"/>
        <v>0</v>
      </c>
      <c r="N346" s="190">
        <f t="shared" si="110"/>
        <v>0</v>
      </c>
    </row>
    <row r="347" spans="1:14">
      <c r="A347" s="128" t="s">
        <v>213</v>
      </c>
      <c r="C347" s="304"/>
      <c r="D347" s="305"/>
      <c r="E347" s="306"/>
      <c r="F347" s="307"/>
      <c r="G347" s="307"/>
      <c r="H347" s="307"/>
      <c r="I347" s="1396"/>
      <c r="J347" s="194" t="s">
        <v>23</v>
      </c>
      <c r="K347" s="190">
        <f>K345+K346</f>
        <v>3626311</v>
      </c>
      <c r="L347" s="190">
        <f>L345+L346</f>
        <v>3626311</v>
      </c>
      <c r="M347" s="190">
        <f>M345+M346</f>
        <v>0</v>
      </c>
      <c r="N347" s="190">
        <f>N345+N346</f>
        <v>0</v>
      </c>
    </row>
    <row r="348" spans="1:14" ht="3.6" customHeight="1">
      <c r="A348" s="128"/>
      <c r="C348" s="308"/>
      <c r="D348" s="305"/>
      <c r="E348" s="306"/>
      <c r="F348" s="307"/>
      <c r="G348" s="307"/>
      <c r="H348" s="307"/>
      <c r="I348" s="309"/>
      <c r="J348" s="194"/>
      <c r="K348" s="190"/>
      <c r="L348" s="191"/>
      <c r="M348" s="191"/>
      <c r="N348" s="191"/>
    </row>
    <row r="349" spans="1:14" ht="13.15" customHeight="1">
      <c r="A349" s="3"/>
      <c r="C349" s="304"/>
      <c r="D349" s="305"/>
      <c r="E349" s="306"/>
      <c r="F349" s="307"/>
      <c r="G349" s="307"/>
      <c r="H349" s="307"/>
      <c r="I349" s="1396" t="s">
        <v>458</v>
      </c>
      <c r="J349" s="194" t="s">
        <v>21</v>
      </c>
      <c r="K349" s="190">
        <f t="shared" ref="K349:N350" si="111">K85+K121+K133+K153+K169+K237+K249+K269+K297+K313+K325+K29+K185</f>
        <v>1321880.3700000001</v>
      </c>
      <c r="L349" s="190">
        <f t="shared" si="111"/>
        <v>1163783.3700000001</v>
      </c>
      <c r="M349" s="190">
        <f t="shared" si="111"/>
        <v>158000</v>
      </c>
      <c r="N349" s="190">
        <f t="shared" si="111"/>
        <v>97</v>
      </c>
    </row>
    <row r="350" spans="1:14">
      <c r="A350" s="3"/>
      <c r="C350" s="304"/>
      <c r="D350" s="305"/>
      <c r="E350" s="306"/>
      <c r="F350" s="307"/>
      <c r="G350" s="307"/>
      <c r="H350" s="307"/>
      <c r="I350" s="1396"/>
      <c r="J350" s="194" t="s">
        <v>22</v>
      </c>
      <c r="K350" s="190">
        <f t="shared" si="111"/>
        <v>11107.71</v>
      </c>
      <c r="L350" s="190">
        <f t="shared" si="111"/>
        <v>11107.71</v>
      </c>
      <c r="M350" s="190">
        <f t="shared" si="111"/>
        <v>0</v>
      </c>
      <c r="N350" s="190">
        <f t="shared" si="111"/>
        <v>0</v>
      </c>
    </row>
    <row r="351" spans="1:14">
      <c r="A351" s="3"/>
      <c r="C351" s="304"/>
      <c r="D351" s="305"/>
      <c r="E351" s="306"/>
      <c r="F351" s="307"/>
      <c r="G351" s="307"/>
      <c r="H351" s="307"/>
      <c r="I351" s="1396"/>
      <c r="J351" s="194" t="s">
        <v>23</v>
      </c>
      <c r="K351" s="190">
        <f>K349+K350</f>
        <v>1332988.08</v>
      </c>
      <c r="L351" s="190">
        <f>L349+L350</f>
        <v>1174891.08</v>
      </c>
      <c r="M351" s="190">
        <f>M349+M350</f>
        <v>158000</v>
      </c>
      <c r="N351" s="190">
        <f>N349+N350</f>
        <v>97</v>
      </c>
    </row>
    <row r="352" spans="1:14" ht="3" customHeight="1">
      <c r="A352" s="3"/>
      <c r="C352" s="308"/>
      <c r="D352" s="305"/>
      <c r="E352" s="306"/>
      <c r="F352" s="307"/>
      <c r="G352" s="307"/>
      <c r="H352" s="307"/>
      <c r="I352" s="309"/>
      <c r="J352" s="194"/>
      <c r="K352" s="190"/>
      <c r="L352" s="191"/>
      <c r="M352" s="191"/>
      <c r="N352" s="191"/>
    </row>
    <row r="353" spans="1:14" ht="13.15" customHeight="1">
      <c r="C353" s="304"/>
      <c r="D353" s="305"/>
      <c r="E353" s="306"/>
      <c r="F353" s="307"/>
      <c r="G353" s="307"/>
      <c r="H353" s="307"/>
      <c r="I353" s="1396" t="s">
        <v>459</v>
      </c>
      <c r="J353" s="194" t="s">
        <v>21</v>
      </c>
      <c r="K353" s="190">
        <f t="shared" ref="K353:N354" si="112">K69+K285+K213</f>
        <v>31590385</v>
      </c>
      <c r="L353" s="190">
        <f t="shared" si="112"/>
        <v>31590385</v>
      </c>
      <c r="M353" s="190">
        <f t="shared" si="112"/>
        <v>0</v>
      </c>
      <c r="N353" s="190">
        <f t="shared" si="112"/>
        <v>0</v>
      </c>
    </row>
    <row r="354" spans="1:14">
      <c r="C354" s="304"/>
      <c r="D354" s="305"/>
      <c r="E354" s="306"/>
      <c r="F354" s="307"/>
      <c r="G354" s="307"/>
      <c r="H354" s="307"/>
      <c r="I354" s="1396"/>
      <c r="J354" s="194" t="s">
        <v>22</v>
      </c>
      <c r="K354" s="190">
        <f t="shared" si="112"/>
        <v>0</v>
      </c>
      <c r="L354" s="190">
        <f t="shared" si="112"/>
        <v>0</v>
      </c>
      <c r="M354" s="190">
        <f t="shared" si="112"/>
        <v>0</v>
      </c>
      <c r="N354" s="190">
        <f t="shared" si="112"/>
        <v>0</v>
      </c>
    </row>
    <row r="355" spans="1:14">
      <c r="C355" s="304"/>
      <c r="D355" s="305"/>
      <c r="E355" s="306"/>
      <c r="F355" s="307"/>
      <c r="G355" s="307"/>
      <c r="H355" s="307"/>
      <c r="I355" s="1396"/>
      <c r="J355" s="194" t="s">
        <v>23</v>
      </c>
      <c r="K355" s="190">
        <f>K353+K354</f>
        <v>31590385</v>
      </c>
      <c r="L355" s="190">
        <f>L353+L354</f>
        <v>31590385</v>
      </c>
      <c r="M355" s="190">
        <f>M353+M354</f>
        <v>0</v>
      </c>
      <c r="N355" s="190">
        <f>N353+N354</f>
        <v>0</v>
      </c>
    </row>
    <row r="356" spans="1:14" ht="3" customHeight="1">
      <c r="A356" s="3"/>
      <c r="C356" s="308"/>
      <c r="D356" s="305"/>
      <c r="E356" s="306"/>
      <c r="F356" s="307"/>
      <c r="G356" s="307"/>
      <c r="H356" s="307"/>
      <c r="I356" s="309"/>
      <c r="J356" s="194"/>
      <c r="K356" s="190"/>
      <c r="L356" s="191"/>
      <c r="M356" s="191"/>
      <c r="N356" s="191"/>
    </row>
    <row r="357" spans="1:14" ht="13.15" customHeight="1">
      <c r="C357" s="304"/>
      <c r="D357" s="305"/>
      <c r="E357" s="306"/>
      <c r="F357" s="307"/>
      <c r="G357" s="307"/>
      <c r="H357" s="307"/>
      <c r="I357" s="1396" t="s">
        <v>460</v>
      </c>
      <c r="J357" s="194" t="s">
        <v>21</v>
      </c>
      <c r="K357" s="190">
        <f>K217+K225+K201</f>
        <v>4084354</v>
      </c>
      <c r="L357" s="190">
        <f t="shared" ref="K357:N358" si="113">L217+L225+L201</f>
        <v>4084354</v>
      </c>
      <c r="M357" s="190">
        <f t="shared" si="113"/>
        <v>0</v>
      </c>
      <c r="N357" s="190">
        <f t="shared" si="113"/>
        <v>0</v>
      </c>
    </row>
    <row r="358" spans="1:14">
      <c r="C358" s="304"/>
      <c r="D358" s="305"/>
      <c r="E358" s="306"/>
      <c r="F358" s="307"/>
      <c r="G358" s="307"/>
      <c r="H358" s="307"/>
      <c r="I358" s="1396"/>
      <c r="J358" s="194" t="s">
        <v>22</v>
      </c>
      <c r="K358" s="190">
        <f t="shared" si="113"/>
        <v>1482360</v>
      </c>
      <c r="L358" s="190">
        <f t="shared" si="113"/>
        <v>1482360</v>
      </c>
      <c r="M358" s="190">
        <f t="shared" si="113"/>
        <v>0</v>
      </c>
      <c r="N358" s="190">
        <f t="shared" si="113"/>
        <v>0</v>
      </c>
    </row>
    <row r="359" spans="1:14">
      <c r="C359" s="304"/>
      <c r="D359" s="305"/>
      <c r="E359" s="306"/>
      <c r="F359" s="307"/>
      <c r="G359" s="307"/>
      <c r="H359" s="307"/>
      <c r="I359" s="1396"/>
      <c r="J359" s="194" t="s">
        <v>23</v>
      </c>
      <c r="K359" s="190">
        <f>K357+K358</f>
        <v>5566714</v>
      </c>
      <c r="L359" s="190">
        <f>L357+L358</f>
        <v>5566714</v>
      </c>
      <c r="M359" s="190">
        <f>M357+M358</f>
        <v>0</v>
      </c>
      <c r="N359" s="190">
        <f>N357+N358</f>
        <v>0</v>
      </c>
    </row>
    <row r="360" spans="1:14">
      <c r="N360" s="3"/>
    </row>
  </sheetData>
  <sheetProtection password="C25B" sheet="1" selectLockedCells="1" selectUnlockedCells="1"/>
  <mergeCells count="351">
    <mergeCell ref="I197:I199"/>
    <mergeCell ref="A5:N5"/>
    <mergeCell ref="A6:M6"/>
    <mergeCell ref="A8:A10"/>
    <mergeCell ref="B8:B10"/>
    <mergeCell ref="C8:C10"/>
    <mergeCell ref="D8:D10"/>
    <mergeCell ref="E8:G8"/>
    <mergeCell ref="H8:H10"/>
    <mergeCell ref="I8:I10"/>
    <mergeCell ref="J8:J10"/>
    <mergeCell ref="K8:N8"/>
    <mergeCell ref="E9:E10"/>
    <mergeCell ref="F9:G9"/>
    <mergeCell ref="K9:K10"/>
    <mergeCell ref="L9:N9"/>
    <mergeCell ref="A13:A15"/>
    <mergeCell ref="B13:B15"/>
    <mergeCell ref="C13:C15"/>
    <mergeCell ref="I13:I15"/>
    <mergeCell ref="A17:A19"/>
    <mergeCell ref="B17:B19"/>
    <mergeCell ref="C17:C19"/>
    <mergeCell ref="I17:I19"/>
    <mergeCell ref="A21:A23"/>
    <mergeCell ref="B21:B23"/>
    <mergeCell ref="C21:C23"/>
    <mergeCell ref="I21:I23"/>
    <mergeCell ref="A25:A27"/>
    <mergeCell ref="B25:C27"/>
    <mergeCell ref="I25:I27"/>
    <mergeCell ref="A29:A31"/>
    <mergeCell ref="B29:B31"/>
    <mergeCell ref="C29:C31"/>
    <mergeCell ref="I29:I31"/>
    <mergeCell ref="A33:A35"/>
    <mergeCell ref="B33:B35"/>
    <mergeCell ref="C33:C35"/>
    <mergeCell ref="I33:I35"/>
    <mergeCell ref="A37:A39"/>
    <mergeCell ref="B37:C39"/>
    <mergeCell ref="I37:I39"/>
    <mergeCell ref="A41:A43"/>
    <mergeCell ref="B41:B43"/>
    <mergeCell ref="C41:C43"/>
    <mergeCell ref="I41:I43"/>
    <mergeCell ref="A45:A47"/>
    <mergeCell ref="B45:B47"/>
    <mergeCell ref="C45:C47"/>
    <mergeCell ref="I45:I47"/>
    <mergeCell ref="A49:A51"/>
    <mergeCell ref="B49:B51"/>
    <mergeCell ref="C49:C51"/>
    <mergeCell ref="I49:I51"/>
    <mergeCell ref="A53:A55"/>
    <mergeCell ref="B53:B55"/>
    <mergeCell ref="C53:C55"/>
    <mergeCell ref="I53:I55"/>
    <mergeCell ref="A57:A59"/>
    <mergeCell ref="B57:B59"/>
    <mergeCell ref="C57:C59"/>
    <mergeCell ref="I57:I59"/>
    <mergeCell ref="A61:A63"/>
    <mergeCell ref="B61:B63"/>
    <mergeCell ref="C61:C63"/>
    <mergeCell ref="I61:I63"/>
    <mergeCell ref="A65:A67"/>
    <mergeCell ref="B65:C67"/>
    <mergeCell ref="I65:I67"/>
    <mergeCell ref="A69:A71"/>
    <mergeCell ref="B69:B71"/>
    <mergeCell ref="C69:C71"/>
    <mergeCell ref="I69:I71"/>
    <mergeCell ref="A73:A75"/>
    <mergeCell ref="B73:B75"/>
    <mergeCell ref="C73:C75"/>
    <mergeCell ref="I73:I75"/>
    <mergeCell ref="F85:F87"/>
    <mergeCell ref="A77:A79"/>
    <mergeCell ref="B77:C79"/>
    <mergeCell ref="I77:I79"/>
    <mergeCell ref="A81:A83"/>
    <mergeCell ref="B81:B83"/>
    <mergeCell ref="C81:C83"/>
    <mergeCell ref="I81:I83"/>
    <mergeCell ref="G85:G87"/>
    <mergeCell ref="I85:I87"/>
    <mergeCell ref="A89:A91"/>
    <mergeCell ref="B89:B91"/>
    <mergeCell ref="C89:C91"/>
    <mergeCell ref="I89:I91"/>
    <mergeCell ref="A85:A87"/>
    <mergeCell ref="B85:B87"/>
    <mergeCell ref="C85:C87"/>
    <mergeCell ref="D85:D87"/>
    <mergeCell ref="E85:E87"/>
    <mergeCell ref="A93:A95"/>
    <mergeCell ref="B93:B95"/>
    <mergeCell ref="C93:C95"/>
    <mergeCell ref="I93:I95"/>
    <mergeCell ref="A97:A99"/>
    <mergeCell ref="B97:C99"/>
    <mergeCell ref="I97:I99"/>
    <mergeCell ref="A101:A103"/>
    <mergeCell ref="B101:B103"/>
    <mergeCell ref="C101:C103"/>
    <mergeCell ref="I101:I103"/>
    <mergeCell ref="A105:A107"/>
    <mergeCell ref="B105:B107"/>
    <mergeCell ref="C105:C107"/>
    <mergeCell ref="I105:I107"/>
    <mergeCell ref="A109:A111"/>
    <mergeCell ref="B109:B111"/>
    <mergeCell ref="C109:C111"/>
    <mergeCell ref="I109:I111"/>
    <mergeCell ref="A113:A115"/>
    <mergeCell ref="B113:C115"/>
    <mergeCell ref="I113:I115"/>
    <mergeCell ref="A117:A119"/>
    <mergeCell ref="B117:B119"/>
    <mergeCell ref="C117:C119"/>
    <mergeCell ref="I117:I119"/>
    <mergeCell ref="A121:A123"/>
    <mergeCell ref="B121:B123"/>
    <mergeCell ref="C121:C123"/>
    <mergeCell ref="D121:D123"/>
    <mergeCell ref="E121:E123"/>
    <mergeCell ref="F121:F123"/>
    <mergeCell ref="G121:G123"/>
    <mergeCell ref="I121:I123"/>
    <mergeCell ref="A125:A127"/>
    <mergeCell ref="B125:B127"/>
    <mergeCell ref="C125:C127"/>
    <mergeCell ref="I125:I127"/>
    <mergeCell ref="A129:A131"/>
    <mergeCell ref="B129:C131"/>
    <mergeCell ref="I129:I131"/>
    <mergeCell ref="A133:A135"/>
    <mergeCell ref="B133:B135"/>
    <mergeCell ref="C133:C135"/>
    <mergeCell ref="I133:I135"/>
    <mergeCell ref="G153:G155"/>
    <mergeCell ref="I153:I155"/>
    <mergeCell ref="A137:A139"/>
    <mergeCell ref="B137:B139"/>
    <mergeCell ref="C137:C139"/>
    <mergeCell ref="I137:I139"/>
    <mergeCell ref="A141:A143"/>
    <mergeCell ref="B141:B143"/>
    <mergeCell ref="C141:C143"/>
    <mergeCell ref="I141:I143"/>
    <mergeCell ref="A145:A147"/>
    <mergeCell ref="B145:C147"/>
    <mergeCell ref="I145:I147"/>
    <mergeCell ref="A149:A151"/>
    <mergeCell ref="B149:B151"/>
    <mergeCell ref="C149:C151"/>
    <mergeCell ref="I149:I151"/>
    <mergeCell ref="A157:A159"/>
    <mergeCell ref="B157:B159"/>
    <mergeCell ref="C157:C159"/>
    <mergeCell ref="I157:I159"/>
    <mergeCell ref="A153:A155"/>
    <mergeCell ref="B153:B155"/>
    <mergeCell ref="C153:C155"/>
    <mergeCell ref="D153:D155"/>
    <mergeCell ref="E153:E155"/>
    <mergeCell ref="F153:F155"/>
    <mergeCell ref="A161:A163"/>
    <mergeCell ref="B161:B163"/>
    <mergeCell ref="C161:C163"/>
    <mergeCell ref="I161:I163"/>
    <mergeCell ref="A165:A167"/>
    <mergeCell ref="B165:C167"/>
    <mergeCell ref="I165:I167"/>
    <mergeCell ref="A169:A171"/>
    <mergeCell ref="B169:B171"/>
    <mergeCell ref="C169:C171"/>
    <mergeCell ref="I169:I171"/>
    <mergeCell ref="A173:A175"/>
    <mergeCell ref="B173:B175"/>
    <mergeCell ref="C173:C175"/>
    <mergeCell ref="I173:I175"/>
    <mergeCell ref="A177:A179"/>
    <mergeCell ref="B177:B179"/>
    <mergeCell ref="C177:C179"/>
    <mergeCell ref="I177:I179"/>
    <mergeCell ref="A181:A183"/>
    <mergeCell ref="B181:C183"/>
    <mergeCell ref="I181:I183"/>
    <mergeCell ref="A185:A187"/>
    <mergeCell ref="B185:B187"/>
    <mergeCell ref="C185:C187"/>
    <mergeCell ref="I185:I187"/>
    <mergeCell ref="A189:A191"/>
    <mergeCell ref="B189:B191"/>
    <mergeCell ref="C189:C191"/>
    <mergeCell ref="I189:I191"/>
    <mergeCell ref="A193:A195"/>
    <mergeCell ref="B193:C195"/>
    <mergeCell ref="I193:I195"/>
    <mergeCell ref="A201:A203"/>
    <mergeCell ref="B201:B203"/>
    <mergeCell ref="C201:C203"/>
    <mergeCell ref="I201:I203"/>
    <mergeCell ref="A197:A199"/>
    <mergeCell ref="B197:B199"/>
    <mergeCell ref="C197:C199"/>
    <mergeCell ref="A205:A207"/>
    <mergeCell ref="B205:C207"/>
    <mergeCell ref="I205:I207"/>
    <mergeCell ref="A209:A211"/>
    <mergeCell ref="B209:B211"/>
    <mergeCell ref="C209:C211"/>
    <mergeCell ref="I209:I211"/>
    <mergeCell ref="A213:A215"/>
    <mergeCell ref="B213:B215"/>
    <mergeCell ref="C213:C215"/>
    <mergeCell ref="I213:I215"/>
    <mergeCell ref="A217:A219"/>
    <mergeCell ref="B217:B219"/>
    <mergeCell ref="C217:C219"/>
    <mergeCell ref="I217:I219"/>
    <mergeCell ref="A221:A223"/>
    <mergeCell ref="B221:B223"/>
    <mergeCell ref="C221:C223"/>
    <mergeCell ref="I221:I223"/>
    <mergeCell ref="A225:A227"/>
    <mergeCell ref="B225:B227"/>
    <mergeCell ref="C225:C227"/>
    <mergeCell ref="I225:I227"/>
    <mergeCell ref="A229:A231"/>
    <mergeCell ref="B229:B231"/>
    <mergeCell ref="C229:C231"/>
    <mergeCell ref="I229:I231"/>
    <mergeCell ref="A233:A235"/>
    <mergeCell ref="B233:C235"/>
    <mergeCell ref="I233:I235"/>
    <mergeCell ref="A237:A239"/>
    <mergeCell ref="B237:B239"/>
    <mergeCell ref="C237:C239"/>
    <mergeCell ref="I237:I239"/>
    <mergeCell ref="A241:A243"/>
    <mergeCell ref="B241:B243"/>
    <mergeCell ref="C241:C243"/>
    <mergeCell ref="I241:I243"/>
    <mergeCell ref="A245:A247"/>
    <mergeCell ref="B245:C247"/>
    <mergeCell ref="I245:I247"/>
    <mergeCell ref="A249:A251"/>
    <mergeCell ref="B249:B251"/>
    <mergeCell ref="C249:C251"/>
    <mergeCell ref="I249:I251"/>
    <mergeCell ref="A253:A255"/>
    <mergeCell ref="B253:B255"/>
    <mergeCell ref="C253:C255"/>
    <mergeCell ref="I253:I255"/>
    <mergeCell ref="A257:A259"/>
    <mergeCell ref="B257:B259"/>
    <mergeCell ref="C257:C259"/>
    <mergeCell ref="I257:I259"/>
    <mergeCell ref="F269:F271"/>
    <mergeCell ref="A261:A263"/>
    <mergeCell ref="B261:C263"/>
    <mergeCell ref="I261:I263"/>
    <mergeCell ref="A265:A267"/>
    <mergeCell ref="B265:B267"/>
    <mergeCell ref="C265:C267"/>
    <mergeCell ref="I265:I267"/>
    <mergeCell ref="G269:G271"/>
    <mergeCell ref="I269:I271"/>
    <mergeCell ref="A273:A275"/>
    <mergeCell ref="B273:B275"/>
    <mergeCell ref="C273:C275"/>
    <mergeCell ref="I273:I275"/>
    <mergeCell ref="A269:A271"/>
    <mergeCell ref="B269:B271"/>
    <mergeCell ref="C269:C271"/>
    <mergeCell ref="D269:D271"/>
    <mergeCell ref="E269:E271"/>
    <mergeCell ref="A277:A279"/>
    <mergeCell ref="B277:B279"/>
    <mergeCell ref="C277:C279"/>
    <mergeCell ref="I277:I279"/>
    <mergeCell ref="A281:A283"/>
    <mergeCell ref="B281:C283"/>
    <mergeCell ref="I281:I283"/>
    <mergeCell ref="A285:A287"/>
    <mergeCell ref="B285:B287"/>
    <mergeCell ref="C285:C287"/>
    <mergeCell ref="I285:I287"/>
    <mergeCell ref="A289:A291"/>
    <mergeCell ref="B289:C291"/>
    <mergeCell ref="I289:I291"/>
    <mergeCell ref="A293:A295"/>
    <mergeCell ref="B293:B295"/>
    <mergeCell ref="C293:C295"/>
    <mergeCell ref="I293:I295"/>
    <mergeCell ref="A297:A299"/>
    <mergeCell ref="B297:B299"/>
    <mergeCell ref="C297:C299"/>
    <mergeCell ref="D297:D299"/>
    <mergeCell ref="E297:E299"/>
    <mergeCell ref="F297:F299"/>
    <mergeCell ref="G297:G299"/>
    <mergeCell ref="I297:I299"/>
    <mergeCell ref="A301:A303"/>
    <mergeCell ref="B301:B303"/>
    <mergeCell ref="C301:C303"/>
    <mergeCell ref="I301:I303"/>
    <mergeCell ref="A305:A307"/>
    <mergeCell ref="B305:B307"/>
    <mergeCell ref="C305:C307"/>
    <mergeCell ref="I305:I307"/>
    <mergeCell ref="A309:A311"/>
    <mergeCell ref="B309:C311"/>
    <mergeCell ref="I309:I311"/>
    <mergeCell ref="A313:A315"/>
    <mergeCell ref="B313:B315"/>
    <mergeCell ref="C313:C315"/>
    <mergeCell ref="I313:I315"/>
    <mergeCell ref="A317:A319"/>
    <mergeCell ref="B317:B319"/>
    <mergeCell ref="C317:C319"/>
    <mergeCell ref="I317:I319"/>
    <mergeCell ref="A321:A323"/>
    <mergeCell ref="B321:C323"/>
    <mergeCell ref="I321:I323"/>
    <mergeCell ref="A325:A327"/>
    <mergeCell ref="B325:B327"/>
    <mergeCell ref="C325:C327"/>
    <mergeCell ref="I325:I327"/>
    <mergeCell ref="C341:C343"/>
    <mergeCell ref="I341:I343"/>
    <mergeCell ref="A329:A331"/>
    <mergeCell ref="B329:B331"/>
    <mergeCell ref="C329:C331"/>
    <mergeCell ref="I329:I331"/>
    <mergeCell ref="A333:A335"/>
    <mergeCell ref="B333:C335"/>
    <mergeCell ref="I333:I335"/>
    <mergeCell ref="I345:I347"/>
    <mergeCell ref="I349:I351"/>
    <mergeCell ref="I353:I355"/>
    <mergeCell ref="I357:I359"/>
    <mergeCell ref="A337:A339"/>
    <mergeCell ref="B337:B339"/>
    <mergeCell ref="C337:C339"/>
    <mergeCell ref="I337:I339"/>
    <mergeCell ref="A341:A343"/>
    <mergeCell ref="B341:B343"/>
  </mergeCells>
  <printOptions horizontalCentered="1"/>
  <pageMargins left="0.70866141732283472" right="0.70866141732283472" top="0.98425196850393704" bottom="0.74803149606299213" header="0.51181102362204722" footer="0.51181102362204722"/>
  <pageSetup paperSize="9" scale="5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zoomScaleNormal="100" zoomScaleSheetLayoutView="100" workbookViewId="0">
      <selection sqref="A1:G66"/>
    </sheetView>
  </sheetViews>
  <sheetFormatPr defaultRowHeight="12.75"/>
  <cols>
    <col min="1" max="1" width="3.625" style="311" customWidth="1"/>
    <col min="2" max="2" width="7.25" style="310" customWidth="1"/>
    <col min="3" max="3" width="36.125" style="310" customWidth="1"/>
    <col min="4" max="4" width="1.75" style="311" customWidth="1"/>
    <col min="5" max="6" width="12.5" style="310" customWidth="1"/>
    <col min="7" max="7" width="11.375" style="310" customWidth="1"/>
    <col min="8" max="8" width="2.125" style="310" customWidth="1"/>
    <col min="9" max="9" width="13.125" style="310" customWidth="1"/>
    <col min="10" max="10" width="13" style="310" customWidth="1"/>
    <col min="11" max="12" width="11.25" style="310" customWidth="1"/>
    <col min="13" max="16384" width="9" style="310"/>
  </cols>
  <sheetData>
    <row r="1" spans="1:15">
      <c r="C1" s="357"/>
      <c r="D1" s="356"/>
      <c r="E1" s="355"/>
      <c r="F1" s="355"/>
      <c r="G1" s="355"/>
      <c r="H1" s="355"/>
      <c r="I1" s="354"/>
      <c r="J1" s="354"/>
      <c r="K1" s="354"/>
      <c r="L1" s="354"/>
    </row>
    <row r="2" spans="1:15" s="313" customFormat="1" ht="16.899999999999999" customHeight="1">
      <c r="A2" s="1456" t="s">
        <v>461</v>
      </c>
      <c r="B2" s="1456"/>
      <c r="C2" s="1456"/>
      <c r="D2" s="1456"/>
      <c r="E2" s="1456"/>
      <c r="F2" s="1456"/>
      <c r="G2" s="1456"/>
      <c r="H2" s="346"/>
      <c r="I2" s="317"/>
      <c r="J2" s="316"/>
      <c r="K2" s="315"/>
      <c r="L2" s="315"/>
      <c r="M2" s="315"/>
      <c r="N2" s="315"/>
      <c r="O2" s="315"/>
    </row>
    <row r="3" spans="1:15" s="313" customFormat="1" ht="16.899999999999999" customHeight="1">
      <c r="A3" s="1456" t="s">
        <v>462</v>
      </c>
      <c r="B3" s="1456"/>
      <c r="C3" s="1456"/>
      <c r="D3" s="1456"/>
      <c r="E3" s="1456"/>
      <c r="F3" s="1456"/>
      <c r="G3" s="1456"/>
      <c r="H3" s="346"/>
      <c r="I3" s="317"/>
      <c r="J3" s="316"/>
      <c r="K3" s="315"/>
      <c r="L3" s="315"/>
      <c r="M3" s="315"/>
      <c r="N3" s="315"/>
      <c r="O3" s="315"/>
    </row>
    <row r="4" spans="1:15" s="349" customFormat="1" ht="15">
      <c r="A4" s="1457"/>
      <c r="B4" s="1457"/>
      <c r="C4" s="1457"/>
      <c r="D4" s="1457"/>
      <c r="E4" s="1457"/>
      <c r="F4" s="1457"/>
      <c r="G4" s="1457"/>
      <c r="H4" s="353"/>
      <c r="I4" s="352"/>
      <c r="J4" s="351"/>
      <c r="K4" s="350"/>
      <c r="L4" s="350"/>
      <c r="M4" s="350"/>
      <c r="N4" s="350"/>
      <c r="O4" s="350"/>
    </row>
    <row r="5" spans="1:15" s="313" customFormat="1" ht="13.5" customHeight="1">
      <c r="A5" s="348" t="s">
        <v>463</v>
      </c>
      <c r="B5" s="347"/>
      <c r="C5" s="347"/>
      <c r="D5" s="347"/>
      <c r="E5" s="346"/>
      <c r="F5" s="343"/>
      <c r="G5" s="345" t="s">
        <v>2</v>
      </c>
      <c r="H5" s="344"/>
      <c r="I5" s="317"/>
      <c r="J5" s="316"/>
      <c r="K5" s="315"/>
      <c r="L5" s="315"/>
      <c r="M5" s="315"/>
      <c r="N5" s="315"/>
      <c r="O5" s="315"/>
    </row>
    <row r="6" spans="1:15" s="313" customFormat="1" ht="15" customHeight="1">
      <c r="A6" s="1458" t="s">
        <v>228</v>
      </c>
      <c r="B6" s="1458" t="s">
        <v>464</v>
      </c>
      <c r="C6" s="1458" t="s">
        <v>465</v>
      </c>
      <c r="D6" s="1460" t="s">
        <v>5</v>
      </c>
      <c r="E6" s="1458" t="s">
        <v>6</v>
      </c>
      <c r="F6" s="1459" t="s">
        <v>466</v>
      </c>
      <c r="G6" s="1459"/>
      <c r="H6" s="343"/>
      <c r="I6" s="317"/>
      <c r="J6" s="316"/>
      <c r="K6" s="315"/>
      <c r="L6" s="315"/>
      <c r="M6" s="315"/>
      <c r="N6" s="315"/>
      <c r="O6" s="315"/>
    </row>
    <row r="7" spans="1:15" s="313" customFormat="1" ht="29.25" customHeight="1">
      <c r="A7" s="1458"/>
      <c r="B7" s="1458"/>
      <c r="C7" s="1458"/>
      <c r="D7" s="1461"/>
      <c r="E7" s="1458"/>
      <c r="F7" s="340" t="s">
        <v>467</v>
      </c>
      <c r="G7" s="340" t="s">
        <v>468</v>
      </c>
      <c r="H7" s="339"/>
      <c r="I7" s="317"/>
      <c r="J7" s="316"/>
      <c r="K7" s="315"/>
      <c r="L7" s="315"/>
      <c r="M7" s="315"/>
      <c r="N7" s="314"/>
      <c r="O7" s="314"/>
    </row>
    <row r="8" spans="1:15" s="313" customFormat="1" ht="16.5" customHeight="1">
      <c r="A8" s="342">
        <v>1</v>
      </c>
      <c r="B8" s="342">
        <v>2</v>
      </c>
      <c r="C8" s="342">
        <v>3</v>
      </c>
      <c r="D8" s="342"/>
      <c r="E8" s="342">
        <v>4</v>
      </c>
      <c r="F8" s="342" t="s">
        <v>469</v>
      </c>
      <c r="G8" s="342" t="s">
        <v>470</v>
      </c>
      <c r="H8" s="341"/>
      <c r="I8" s="317"/>
      <c r="J8" s="316"/>
      <c r="K8" s="315"/>
      <c r="L8" s="315"/>
      <c r="M8" s="315"/>
      <c r="N8" s="314"/>
      <c r="O8" s="314"/>
    </row>
    <row r="9" spans="1:15" s="313" customFormat="1" ht="7.5" customHeight="1">
      <c r="A9" s="340"/>
      <c r="B9" s="340"/>
      <c r="C9" s="340"/>
      <c r="D9" s="340"/>
      <c r="E9" s="340"/>
      <c r="F9" s="340"/>
      <c r="G9" s="340"/>
      <c r="H9" s="339"/>
      <c r="I9" s="317"/>
      <c r="J9" s="316"/>
      <c r="K9" s="315"/>
      <c r="L9" s="315"/>
      <c r="M9" s="315"/>
      <c r="N9" s="314"/>
      <c r="O9" s="314"/>
    </row>
    <row r="10" spans="1:15" s="323" customFormat="1" ht="13.5">
      <c r="A10" s="1435"/>
      <c r="B10" s="1435"/>
      <c r="C10" s="1438" t="s">
        <v>20</v>
      </c>
      <c r="D10" s="336" t="s">
        <v>21</v>
      </c>
      <c r="E10" s="335">
        <f t="shared" ref="E10:G11" si="0">E14+E26+E38+E50</f>
        <v>142000</v>
      </c>
      <c r="F10" s="335">
        <f t="shared" si="0"/>
        <v>134900</v>
      </c>
      <c r="G10" s="335">
        <f t="shared" si="0"/>
        <v>7100</v>
      </c>
      <c r="H10" s="334"/>
      <c r="I10" s="327"/>
      <c r="J10" s="326"/>
      <c r="K10" s="325"/>
      <c r="L10" s="325"/>
      <c r="M10" s="325"/>
      <c r="N10" s="324"/>
      <c r="O10" s="324"/>
    </row>
    <row r="11" spans="1:15" s="323" customFormat="1" ht="13.5">
      <c r="A11" s="1436"/>
      <c r="B11" s="1436"/>
      <c r="C11" s="1439"/>
      <c r="D11" s="336" t="s">
        <v>22</v>
      </c>
      <c r="E11" s="335">
        <f t="shared" si="0"/>
        <v>-4000</v>
      </c>
      <c r="F11" s="335">
        <f t="shared" si="0"/>
        <v>-3800</v>
      </c>
      <c r="G11" s="335">
        <f t="shared" si="0"/>
        <v>-200</v>
      </c>
      <c r="H11" s="334"/>
      <c r="I11" s="327"/>
      <c r="J11" s="326"/>
      <c r="K11" s="325"/>
      <c r="L11" s="325"/>
      <c r="M11" s="325"/>
      <c r="N11" s="324"/>
      <c r="O11" s="324"/>
    </row>
    <row r="12" spans="1:15" s="323" customFormat="1" ht="13.5">
      <c r="A12" s="1437"/>
      <c r="B12" s="1437"/>
      <c r="C12" s="1440"/>
      <c r="D12" s="336" t="s">
        <v>23</v>
      </c>
      <c r="E12" s="335">
        <f>E10+E11</f>
        <v>138000</v>
      </c>
      <c r="F12" s="335">
        <f>F10+F11</f>
        <v>131100</v>
      </c>
      <c r="G12" s="335">
        <f>G10+G11</f>
        <v>6900</v>
      </c>
      <c r="H12" s="334"/>
      <c r="I12" s="327"/>
      <c r="J12" s="326"/>
      <c r="K12" s="325"/>
      <c r="L12" s="325"/>
      <c r="M12" s="325"/>
      <c r="N12" s="324"/>
      <c r="O12" s="324"/>
    </row>
    <row r="13" spans="1:15" s="323" customFormat="1" ht="7.5" hidden="1" customHeight="1">
      <c r="A13" s="336"/>
      <c r="B13" s="338"/>
      <c r="C13" s="337"/>
      <c r="D13" s="336"/>
      <c r="E13" s="335"/>
      <c r="F13" s="335"/>
      <c r="G13" s="335"/>
      <c r="H13" s="334"/>
      <c r="I13" s="327"/>
      <c r="J13" s="326"/>
      <c r="K13" s="325"/>
      <c r="L13" s="325"/>
      <c r="M13" s="325"/>
      <c r="N13" s="324"/>
      <c r="O13" s="324"/>
    </row>
    <row r="14" spans="1:15" s="323" customFormat="1" ht="13.5" hidden="1">
      <c r="A14" s="1447"/>
      <c r="B14" s="1447" t="s">
        <v>56</v>
      </c>
      <c r="C14" s="1438" t="s">
        <v>57</v>
      </c>
      <c r="D14" s="336" t="s">
        <v>21</v>
      </c>
      <c r="E14" s="335">
        <f t="shared" ref="E14:G15" si="1">E18</f>
        <v>100000</v>
      </c>
      <c r="F14" s="335">
        <f t="shared" si="1"/>
        <v>95000</v>
      </c>
      <c r="G14" s="335">
        <f t="shared" si="1"/>
        <v>5000</v>
      </c>
      <c r="H14" s="334"/>
      <c r="I14" s="327"/>
      <c r="J14" s="326"/>
      <c r="K14" s="325"/>
      <c r="L14" s="325"/>
      <c r="M14" s="325"/>
      <c r="N14" s="324"/>
      <c r="O14" s="324"/>
    </row>
    <row r="15" spans="1:15" s="323" customFormat="1" ht="13.5" hidden="1">
      <c r="A15" s="1448"/>
      <c r="B15" s="1448"/>
      <c r="C15" s="1439"/>
      <c r="D15" s="336" t="s">
        <v>22</v>
      </c>
      <c r="E15" s="335">
        <f t="shared" si="1"/>
        <v>0</v>
      </c>
      <c r="F15" s="335">
        <f t="shared" si="1"/>
        <v>0</v>
      </c>
      <c r="G15" s="335">
        <f t="shared" si="1"/>
        <v>0</v>
      </c>
      <c r="H15" s="334"/>
      <c r="I15" s="327"/>
      <c r="J15" s="326"/>
      <c r="K15" s="325"/>
      <c r="L15" s="325"/>
      <c r="M15" s="325"/>
      <c r="N15" s="324"/>
      <c r="O15" s="324"/>
    </row>
    <row r="16" spans="1:15" s="323" customFormat="1" ht="13.5" hidden="1">
      <c r="A16" s="1449"/>
      <c r="B16" s="1449"/>
      <c r="C16" s="1440"/>
      <c r="D16" s="336" t="s">
        <v>23</v>
      </c>
      <c r="E16" s="335">
        <f>E14+E15</f>
        <v>100000</v>
      </c>
      <c r="F16" s="335">
        <f>F14+F15</f>
        <v>95000</v>
      </c>
      <c r="G16" s="335">
        <f>G14+G15</f>
        <v>5000</v>
      </c>
      <c r="H16" s="334"/>
      <c r="I16" s="327"/>
      <c r="J16" s="326"/>
      <c r="K16" s="325"/>
      <c r="L16" s="325"/>
      <c r="M16" s="325"/>
      <c r="N16" s="324"/>
      <c r="O16" s="324"/>
    </row>
    <row r="17" spans="1:15" s="323" customFormat="1" ht="7.5" hidden="1" customHeight="1">
      <c r="A17" s="338"/>
      <c r="B17" s="338"/>
      <c r="C17" s="337"/>
      <c r="D17" s="336"/>
      <c r="E17" s="335"/>
      <c r="F17" s="335"/>
      <c r="G17" s="335"/>
      <c r="H17" s="334"/>
      <c r="I17" s="327"/>
      <c r="J17" s="326"/>
      <c r="K17" s="325"/>
      <c r="L17" s="325"/>
      <c r="M17" s="325"/>
      <c r="N17" s="324"/>
      <c r="O17" s="324"/>
    </row>
    <row r="18" spans="1:15" s="323" customFormat="1" ht="13.5" hidden="1">
      <c r="A18" s="1441"/>
      <c r="B18" s="1441" t="s">
        <v>72</v>
      </c>
      <c r="C18" s="1444" t="s">
        <v>471</v>
      </c>
      <c r="D18" s="329" t="s">
        <v>21</v>
      </c>
      <c r="E18" s="330">
        <f t="shared" ref="E18:G19" si="2">E22</f>
        <v>100000</v>
      </c>
      <c r="F18" s="330">
        <f t="shared" si="2"/>
        <v>95000</v>
      </c>
      <c r="G18" s="330">
        <f t="shared" si="2"/>
        <v>5000</v>
      </c>
      <c r="H18" s="333"/>
      <c r="I18" s="327"/>
      <c r="J18" s="326"/>
      <c r="K18" s="325"/>
      <c r="L18" s="325"/>
      <c r="M18" s="325"/>
      <c r="N18" s="324"/>
      <c r="O18" s="324"/>
    </row>
    <row r="19" spans="1:15" s="323" customFormat="1" ht="13.5" hidden="1">
      <c r="A19" s="1442"/>
      <c r="B19" s="1442"/>
      <c r="C19" s="1445"/>
      <c r="D19" s="329" t="s">
        <v>22</v>
      </c>
      <c r="E19" s="330">
        <f t="shared" si="2"/>
        <v>0</v>
      </c>
      <c r="F19" s="330">
        <f t="shared" si="2"/>
        <v>0</v>
      </c>
      <c r="G19" s="330">
        <f t="shared" si="2"/>
        <v>0</v>
      </c>
      <c r="H19" s="333"/>
      <c r="I19" s="327"/>
      <c r="J19" s="326"/>
      <c r="K19" s="325"/>
      <c r="L19" s="325"/>
      <c r="M19" s="325"/>
      <c r="N19" s="324"/>
      <c r="O19" s="324"/>
    </row>
    <row r="20" spans="1:15" s="323" customFormat="1" ht="13.5" hidden="1">
      <c r="A20" s="1443"/>
      <c r="B20" s="1443"/>
      <c r="C20" s="1446"/>
      <c r="D20" s="329" t="s">
        <v>23</v>
      </c>
      <c r="E20" s="330">
        <f>E18+E19</f>
        <v>100000</v>
      </c>
      <c r="F20" s="330">
        <f>F18+F19</f>
        <v>95000</v>
      </c>
      <c r="G20" s="330">
        <f>G18+G19</f>
        <v>5000</v>
      </c>
      <c r="H20" s="333"/>
      <c r="I20" s="327"/>
      <c r="J20" s="326"/>
      <c r="K20" s="325"/>
      <c r="L20" s="325"/>
      <c r="M20" s="325"/>
      <c r="N20" s="324"/>
      <c r="O20" s="324"/>
    </row>
    <row r="21" spans="1:15" s="323" customFormat="1" ht="7.5" hidden="1" customHeight="1">
      <c r="A21" s="332"/>
      <c r="B21" s="332"/>
      <c r="C21" s="331"/>
      <c r="D21" s="329"/>
      <c r="E21" s="330"/>
      <c r="F21" s="329"/>
      <c r="G21" s="329"/>
      <c r="H21" s="328"/>
      <c r="I21" s="327"/>
      <c r="J21" s="326"/>
      <c r="K21" s="325"/>
      <c r="L21" s="325"/>
      <c r="M21" s="325"/>
      <c r="N21" s="324"/>
      <c r="O21" s="324"/>
    </row>
    <row r="22" spans="1:15" s="313" customFormat="1" hidden="1">
      <c r="A22" s="1450"/>
      <c r="B22" s="1450" t="s">
        <v>472</v>
      </c>
      <c r="C22" s="1453" t="s">
        <v>473</v>
      </c>
      <c r="D22" s="320" t="s">
        <v>21</v>
      </c>
      <c r="E22" s="319">
        <f>F22+G22</f>
        <v>100000</v>
      </c>
      <c r="F22" s="319">
        <v>95000</v>
      </c>
      <c r="G22" s="319">
        <v>5000</v>
      </c>
      <c r="H22" s="318"/>
      <c r="I22" s="317"/>
      <c r="J22" s="316"/>
      <c r="K22" s="315"/>
      <c r="L22" s="315"/>
      <c r="M22" s="315"/>
      <c r="N22" s="314"/>
      <c r="O22" s="314"/>
    </row>
    <row r="23" spans="1:15" s="313" customFormat="1" hidden="1">
      <c r="A23" s="1451"/>
      <c r="B23" s="1451"/>
      <c r="C23" s="1454"/>
      <c r="D23" s="320" t="s">
        <v>22</v>
      </c>
      <c r="E23" s="319">
        <f>F23+G23</f>
        <v>0</v>
      </c>
      <c r="F23" s="319"/>
      <c r="G23" s="319"/>
      <c r="H23" s="318"/>
      <c r="I23" s="317"/>
      <c r="J23" s="316"/>
      <c r="K23" s="315"/>
      <c r="L23" s="315"/>
      <c r="M23" s="315"/>
      <c r="N23" s="314"/>
      <c r="O23" s="314"/>
    </row>
    <row r="24" spans="1:15" s="313" customFormat="1" hidden="1">
      <c r="A24" s="1452"/>
      <c r="B24" s="1452"/>
      <c r="C24" s="1455"/>
      <c r="D24" s="320" t="s">
        <v>23</v>
      </c>
      <c r="E24" s="319">
        <f>E22+E23</f>
        <v>100000</v>
      </c>
      <c r="F24" s="319">
        <f>F22+F23</f>
        <v>95000</v>
      </c>
      <c r="G24" s="319">
        <f>G22+G23</f>
        <v>5000</v>
      </c>
      <c r="H24" s="318"/>
      <c r="I24" s="317"/>
      <c r="J24" s="316"/>
      <c r="K24" s="315"/>
      <c r="L24" s="315"/>
      <c r="M24" s="315"/>
      <c r="N24" s="314"/>
      <c r="O24" s="314"/>
    </row>
    <row r="25" spans="1:15" s="313" customFormat="1" ht="7.5" hidden="1" customHeight="1">
      <c r="A25" s="322"/>
      <c r="B25" s="322"/>
      <c r="C25" s="321"/>
      <c r="D25" s="320"/>
      <c r="E25" s="319"/>
      <c r="F25" s="319"/>
      <c r="G25" s="319"/>
      <c r="H25" s="318"/>
      <c r="I25" s="317"/>
      <c r="J25" s="316"/>
      <c r="K25" s="315"/>
      <c r="L25" s="315"/>
      <c r="M25" s="315"/>
      <c r="N25" s="314"/>
      <c r="O25" s="314"/>
    </row>
    <row r="26" spans="1:15" s="323" customFormat="1" ht="13.5" hidden="1">
      <c r="A26" s="1447"/>
      <c r="B26" s="1447" t="s">
        <v>73</v>
      </c>
      <c r="C26" s="1438" t="s">
        <v>74</v>
      </c>
      <c r="D26" s="336" t="s">
        <v>21</v>
      </c>
      <c r="E26" s="335">
        <f t="shared" ref="E26:G27" si="3">E30</f>
        <v>9000</v>
      </c>
      <c r="F26" s="335">
        <f t="shared" si="3"/>
        <v>8550</v>
      </c>
      <c r="G26" s="335">
        <f t="shared" si="3"/>
        <v>450</v>
      </c>
      <c r="H26" s="334"/>
      <c r="I26" s="327"/>
      <c r="J26" s="326"/>
      <c r="K26" s="325"/>
      <c r="L26" s="325"/>
      <c r="M26" s="325"/>
      <c r="N26" s="324"/>
      <c r="O26" s="324"/>
    </row>
    <row r="27" spans="1:15" s="323" customFormat="1" ht="13.5" hidden="1">
      <c r="A27" s="1448"/>
      <c r="B27" s="1448"/>
      <c r="C27" s="1439"/>
      <c r="D27" s="336" t="s">
        <v>22</v>
      </c>
      <c r="E27" s="335">
        <f t="shared" si="3"/>
        <v>0</v>
      </c>
      <c r="F27" s="335">
        <f t="shared" si="3"/>
        <v>0</v>
      </c>
      <c r="G27" s="335">
        <f t="shared" si="3"/>
        <v>0</v>
      </c>
      <c r="H27" s="334"/>
      <c r="I27" s="327"/>
      <c r="J27" s="326"/>
      <c r="K27" s="325"/>
      <c r="L27" s="325"/>
      <c r="M27" s="325"/>
      <c r="N27" s="324"/>
      <c r="O27" s="324"/>
    </row>
    <row r="28" spans="1:15" s="323" customFormat="1" ht="13.5" hidden="1">
      <c r="A28" s="1449"/>
      <c r="B28" s="1449"/>
      <c r="C28" s="1440"/>
      <c r="D28" s="336" t="s">
        <v>23</v>
      </c>
      <c r="E28" s="335">
        <f>E26+E27</f>
        <v>9000</v>
      </c>
      <c r="F28" s="335">
        <f>F26+F27</f>
        <v>8550</v>
      </c>
      <c r="G28" s="335">
        <f>G26+G27</f>
        <v>450</v>
      </c>
      <c r="H28" s="334"/>
      <c r="I28" s="327"/>
      <c r="J28" s="326"/>
      <c r="K28" s="325"/>
      <c r="L28" s="325"/>
      <c r="M28" s="325"/>
      <c r="N28" s="324"/>
      <c r="O28" s="324"/>
    </row>
    <row r="29" spans="1:15" s="323" customFormat="1" ht="7.5" hidden="1" customHeight="1">
      <c r="A29" s="338"/>
      <c r="B29" s="338"/>
      <c r="C29" s="337"/>
      <c r="D29" s="336"/>
      <c r="E29" s="335"/>
      <c r="F29" s="335"/>
      <c r="G29" s="335"/>
      <c r="H29" s="334"/>
      <c r="I29" s="327"/>
      <c r="J29" s="326"/>
      <c r="K29" s="325"/>
      <c r="L29" s="325"/>
      <c r="M29" s="325"/>
      <c r="N29" s="324"/>
      <c r="O29" s="324"/>
    </row>
    <row r="30" spans="1:15" s="323" customFormat="1" ht="13.5" hidden="1">
      <c r="A30" s="1441"/>
      <c r="B30" s="1441" t="s">
        <v>77</v>
      </c>
      <c r="C30" s="1444" t="s">
        <v>474</v>
      </c>
      <c r="D30" s="329" t="s">
        <v>21</v>
      </c>
      <c r="E30" s="330">
        <f t="shared" ref="E30:G31" si="4">E34</f>
        <v>9000</v>
      </c>
      <c r="F30" s="330">
        <f t="shared" si="4"/>
        <v>8550</v>
      </c>
      <c r="G30" s="330">
        <f t="shared" si="4"/>
        <v>450</v>
      </c>
      <c r="H30" s="333"/>
      <c r="I30" s="327"/>
      <c r="J30" s="326"/>
      <c r="K30" s="325"/>
      <c r="L30" s="325"/>
      <c r="M30" s="325"/>
      <c r="N30" s="324"/>
      <c r="O30" s="324"/>
    </row>
    <row r="31" spans="1:15" s="323" customFormat="1" ht="13.5" hidden="1">
      <c r="A31" s="1442"/>
      <c r="B31" s="1442"/>
      <c r="C31" s="1445"/>
      <c r="D31" s="329" t="s">
        <v>22</v>
      </c>
      <c r="E31" s="330">
        <f t="shared" si="4"/>
        <v>0</v>
      </c>
      <c r="F31" s="330">
        <f t="shared" si="4"/>
        <v>0</v>
      </c>
      <c r="G31" s="330">
        <f t="shared" si="4"/>
        <v>0</v>
      </c>
      <c r="H31" s="333"/>
      <c r="I31" s="327"/>
      <c r="J31" s="326"/>
      <c r="K31" s="325"/>
      <c r="L31" s="325"/>
      <c r="M31" s="325"/>
      <c r="N31" s="324"/>
      <c r="O31" s="324"/>
    </row>
    <row r="32" spans="1:15" s="323" customFormat="1" ht="13.5" hidden="1">
      <c r="A32" s="1443"/>
      <c r="B32" s="1443"/>
      <c r="C32" s="1446"/>
      <c r="D32" s="329" t="s">
        <v>23</v>
      </c>
      <c r="E32" s="330">
        <f>E30+E31</f>
        <v>9000</v>
      </c>
      <c r="F32" s="330">
        <f>F30+F31</f>
        <v>8550</v>
      </c>
      <c r="G32" s="330">
        <f>G30+G31</f>
        <v>450</v>
      </c>
      <c r="H32" s="333"/>
      <c r="I32" s="327"/>
      <c r="J32" s="326"/>
      <c r="K32" s="325"/>
      <c r="L32" s="325"/>
      <c r="M32" s="325"/>
      <c r="N32" s="324"/>
      <c r="O32" s="324"/>
    </row>
    <row r="33" spans="1:15" s="323" customFormat="1" ht="7.5" hidden="1" customHeight="1">
      <c r="A33" s="332"/>
      <c r="B33" s="332"/>
      <c r="C33" s="331"/>
      <c r="D33" s="329"/>
      <c r="E33" s="330"/>
      <c r="F33" s="329"/>
      <c r="G33" s="329"/>
      <c r="H33" s="328"/>
      <c r="I33" s="327"/>
      <c r="J33" s="326"/>
      <c r="K33" s="325"/>
      <c r="L33" s="325"/>
      <c r="M33" s="325"/>
      <c r="N33" s="324"/>
      <c r="O33" s="324"/>
    </row>
    <row r="34" spans="1:15" s="313" customFormat="1" hidden="1">
      <c r="A34" s="1450"/>
      <c r="B34" s="1450" t="s">
        <v>472</v>
      </c>
      <c r="C34" s="1453" t="s">
        <v>473</v>
      </c>
      <c r="D34" s="320" t="s">
        <v>21</v>
      </c>
      <c r="E34" s="319">
        <f>F34+G34</f>
        <v>9000</v>
      </c>
      <c r="F34" s="319">
        <v>8550</v>
      </c>
      <c r="G34" s="319">
        <v>450</v>
      </c>
      <c r="H34" s="318"/>
      <c r="I34" s="317"/>
      <c r="J34" s="316"/>
      <c r="K34" s="315"/>
      <c r="L34" s="315"/>
      <c r="M34" s="315"/>
      <c r="N34" s="314"/>
      <c r="O34" s="314"/>
    </row>
    <row r="35" spans="1:15" s="313" customFormat="1" hidden="1">
      <c r="A35" s="1451"/>
      <c r="B35" s="1451"/>
      <c r="C35" s="1454"/>
      <c r="D35" s="320" t="s">
        <v>22</v>
      </c>
      <c r="E35" s="319">
        <f>F35+G35</f>
        <v>0</v>
      </c>
      <c r="F35" s="319"/>
      <c r="G35" s="319"/>
      <c r="H35" s="318"/>
      <c r="I35" s="317"/>
      <c r="J35" s="316"/>
      <c r="K35" s="315"/>
      <c r="L35" s="315"/>
      <c r="M35" s="315"/>
      <c r="N35" s="314"/>
      <c r="O35" s="314"/>
    </row>
    <row r="36" spans="1:15" s="313" customFormat="1" hidden="1">
      <c r="A36" s="1452"/>
      <c r="B36" s="1452"/>
      <c r="C36" s="1455"/>
      <c r="D36" s="320" t="s">
        <v>23</v>
      </c>
      <c r="E36" s="319">
        <f>E34+E35</f>
        <v>9000</v>
      </c>
      <c r="F36" s="319">
        <f>F34+F35</f>
        <v>8550</v>
      </c>
      <c r="G36" s="319">
        <f>G34+G35</f>
        <v>450</v>
      </c>
      <c r="H36" s="318"/>
      <c r="I36" s="317"/>
      <c r="J36" s="316"/>
      <c r="K36" s="315"/>
      <c r="L36" s="315"/>
      <c r="M36" s="315"/>
      <c r="N36" s="314"/>
      <c r="O36" s="314"/>
    </row>
    <row r="37" spans="1:15" s="313" customFormat="1" ht="7.5" customHeight="1">
      <c r="A37" s="322"/>
      <c r="B37" s="322"/>
      <c r="C37" s="321"/>
      <c r="D37" s="320"/>
      <c r="E37" s="319"/>
      <c r="F37" s="319"/>
      <c r="G37" s="319"/>
      <c r="H37" s="318"/>
      <c r="I37" s="317"/>
      <c r="J37" s="316"/>
      <c r="K37" s="315"/>
      <c r="L37" s="315"/>
      <c r="M37" s="315"/>
      <c r="N37" s="314"/>
      <c r="O37" s="314"/>
    </row>
    <row r="38" spans="1:15" s="323" customFormat="1" ht="13.5">
      <c r="A38" s="1447"/>
      <c r="B38" s="1447" t="s">
        <v>82</v>
      </c>
      <c r="C38" s="1438" t="s">
        <v>83</v>
      </c>
      <c r="D38" s="336" t="s">
        <v>21</v>
      </c>
      <c r="E38" s="335">
        <f t="shared" ref="E38:G39" si="5">E42</f>
        <v>27000</v>
      </c>
      <c r="F38" s="335">
        <f t="shared" si="5"/>
        <v>25650</v>
      </c>
      <c r="G38" s="335">
        <f t="shared" si="5"/>
        <v>1350</v>
      </c>
      <c r="H38" s="334"/>
      <c r="I38" s="327"/>
      <c r="J38" s="326"/>
      <c r="K38" s="325"/>
      <c r="L38" s="325"/>
      <c r="M38" s="325"/>
      <c r="N38" s="324"/>
      <c r="O38" s="324"/>
    </row>
    <row r="39" spans="1:15" s="323" customFormat="1" ht="13.5">
      <c r="A39" s="1448"/>
      <c r="B39" s="1448"/>
      <c r="C39" s="1439"/>
      <c r="D39" s="336" t="s">
        <v>22</v>
      </c>
      <c r="E39" s="335">
        <f t="shared" si="5"/>
        <v>-4000</v>
      </c>
      <c r="F39" s="335">
        <f t="shared" si="5"/>
        <v>-3800</v>
      </c>
      <c r="G39" s="335">
        <f t="shared" si="5"/>
        <v>-200</v>
      </c>
      <c r="H39" s="334"/>
      <c r="I39" s="327"/>
      <c r="J39" s="326"/>
      <c r="K39" s="325"/>
      <c r="L39" s="325"/>
      <c r="M39" s="325"/>
      <c r="N39" s="324"/>
      <c r="O39" s="324"/>
    </row>
    <row r="40" spans="1:15" s="323" customFormat="1" ht="13.5">
      <c r="A40" s="1449"/>
      <c r="B40" s="1449"/>
      <c r="C40" s="1440"/>
      <c r="D40" s="336" t="s">
        <v>23</v>
      </c>
      <c r="E40" s="335">
        <f>E38+E39</f>
        <v>23000</v>
      </c>
      <c r="F40" s="335">
        <f>F38+F39</f>
        <v>21850</v>
      </c>
      <c r="G40" s="335">
        <f>G38+G39</f>
        <v>1150</v>
      </c>
      <c r="H40" s="334"/>
      <c r="I40" s="327"/>
      <c r="J40" s="326"/>
      <c r="K40" s="325"/>
      <c r="L40" s="325"/>
      <c r="M40" s="325"/>
      <c r="N40" s="324"/>
      <c r="O40" s="324"/>
    </row>
    <row r="41" spans="1:15" s="313" customFormat="1" ht="7.5" customHeight="1">
      <c r="A41" s="322"/>
      <c r="B41" s="322"/>
      <c r="C41" s="321"/>
      <c r="D41" s="320"/>
      <c r="E41" s="319"/>
      <c r="F41" s="319"/>
      <c r="G41" s="319"/>
      <c r="H41" s="318"/>
      <c r="I41" s="317"/>
      <c r="J41" s="316"/>
      <c r="K41" s="315"/>
      <c r="L41" s="315"/>
      <c r="M41" s="315"/>
      <c r="N41" s="314"/>
      <c r="O41" s="314"/>
    </row>
    <row r="42" spans="1:15" s="323" customFormat="1" ht="13.5">
      <c r="A42" s="1441"/>
      <c r="B42" s="1441" t="s">
        <v>88</v>
      </c>
      <c r="C42" s="1444" t="s">
        <v>475</v>
      </c>
      <c r="D42" s="329" t="s">
        <v>21</v>
      </c>
      <c r="E42" s="330">
        <f t="shared" ref="E42:G43" si="6">E46</f>
        <v>27000</v>
      </c>
      <c r="F42" s="330">
        <f t="shared" si="6"/>
        <v>25650</v>
      </c>
      <c r="G42" s="330">
        <f t="shared" si="6"/>
        <v>1350</v>
      </c>
      <c r="H42" s="333"/>
      <c r="I42" s="327"/>
      <c r="J42" s="326"/>
      <c r="K42" s="325"/>
      <c r="L42" s="325"/>
      <c r="M42" s="325"/>
      <c r="N42" s="324"/>
      <c r="O42" s="324"/>
    </row>
    <row r="43" spans="1:15" s="323" customFormat="1" ht="13.5">
      <c r="A43" s="1442"/>
      <c r="B43" s="1442"/>
      <c r="C43" s="1445"/>
      <c r="D43" s="329" t="s">
        <v>22</v>
      </c>
      <c r="E43" s="330">
        <f t="shared" si="6"/>
        <v>-4000</v>
      </c>
      <c r="F43" s="330">
        <f t="shared" si="6"/>
        <v>-3800</v>
      </c>
      <c r="G43" s="330">
        <f t="shared" si="6"/>
        <v>-200</v>
      </c>
      <c r="H43" s="333"/>
      <c r="I43" s="327"/>
      <c r="J43" s="326"/>
      <c r="K43" s="325"/>
      <c r="L43" s="325"/>
      <c r="M43" s="325"/>
      <c r="N43" s="324"/>
      <c r="O43" s="324"/>
    </row>
    <row r="44" spans="1:15" s="323" customFormat="1" ht="13.5">
      <c r="A44" s="1443"/>
      <c r="B44" s="1443"/>
      <c r="C44" s="1446"/>
      <c r="D44" s="329" t="s">
        <v>23</v>
      </c>
      <c r="E44" s="330">
        <f>E42+E43</f>
        <v>23000</v>
      </c>
      <c r="F44" s="330">
        <f>F42+F43</f>
        <v>21850</v>
      </c>
      <c r="G44" s="330">
        <f>G42+G43</f>
        <v>1150</v>
      </c>
      <c r="H44" s="333"/>
      <c r="I44" s="327"/>
      <c r="J44" s="326"/>
      <c r="K44" s="325"/>
      <c r="L44" s="325"/>
      <c r="M44" s="325"/>
      <c r="N44" s="324"/>
      <c r="O44" s="324"/>
    </row>
    <row r="45" spans="1:15" s="323" customFormat="1" ht="7.5" customHeight="1">
      <c r="A45" s="332"/>
      <c r="B45" s="332"/>
      <c r="C45" s="331"/>
      <c r="D45" s="329"/>
      <c r="E45" s="330"/>
      <c r="F45" s="329"/>
      <c r="G45" s="329"/>
      <c r="H45" s="328"/>
      <c r="I45" s="327"/>
      <c r="J45" s="326"/>
      <c r="K45" s="325"/>
      <c r="L45" s="325"/>
      <c r="M45" s="325"/>
      <c r="N45" s="324"/>
      <c r="O45" s="324"/>
    </row>
    <row r="46" spans="1:15" s="313" customFormat="1">
      <c r="A46" s="1450"/>
      <c r="B46" s="1450" t="s">
        <v>476</v>
      </c>
      <c r="C46" s="1453" t="s">
        <v>477</v>
      </c>
      <c r="D46" s="320" t="s">
        <v>21</v>
      </c>
      <c r="E46" s="319">
        <f>F46+G46</f>
        <v>27000</v>
      </c>
      <c r="F46" s="319">
        <v>25650</v>
      </c>
      <c r="G46" s="319">
        <v>1350</v>
      </c>
      <c r="H46" s="318"/>
      <c r="I46" s="317"/>
      <c r="J46" s="316"/>
      <c r="K46" s="315"/>
      <c r="L46" s="315"/>
      <c r="M46" s="315"/>
      <c r="N46" s="314"/>
      <c r="O46" s="314"/>
    </row>
    <row r="47" spans="1:15" s="313" customFormat="1">
      <c r="A47" s="1451"/>
      <c r="B47" s="1451"/>
      <c r="C47" s="1454"/>
      <c r="D47" s="320" t="s">
        <v>22</v>
      </c>
      <c r="E47" s="319">
        <f>F47+G47</f>
        <v>-4000</v>
      </c>
      <c r="F47" s="319">
        <v>-3800</v>
      </c>
      <c r="G47" s="319">
        <v>-200</v>
      </c>
      <c r="H47" s="318"/>
      <c r="I47" s="317"/>
      <c r="J47" s="316"/>
      <c r="K47" s="315"/>
      <c r="L47" s="315"/>
      <c r="M47" s="315"/>
      <c r="N47" s="314"/>
      <c r="O47" s="314"/>
    </row>
    <row r="48" spans="1:15" s="313" customFormat="1">
      <c r="A48" s="1452"/>
      <c r="B48" s="1452"/>
      <c r="C48" s="1455"/>
      <c r="D48" s="320" t="s">
        <v>23</v>
      </c>
      <c r="E48" s="319">
        <f>E46+E47</f>
        <v>23000</v>
      </c>
      <c r="F48" s="319">
        <f>F46+F47</f>
        <v>21850</v>
      </c>
      <c r="G48" s="319">
        <f>G46+G47</f>
        <v>1150</v>
      </c>
      <c r="H48" s="318"/>
      <c r="I48" s="317"/>
      <c r="J48" s="316"/>
      <c r="K48" s="315"/>
      <c r="L48" s="315"/>
      <c r="M48" s="315"/>
      <c r="N48" s="314"/>
      <c r="O48" s="314"/>
    </row>
    <row r="49" spans="1:15" s="313" customFormat="1" ht="7.5" customHeight="1">
      <c r="A49" s="322"/>
      <c r="B49" s="322"/>
      <c r="C49" s="321"/>
      <c r="D49" s="320"/>
      <c r="E49" s="319"/>
      <c r="F49" s="319"/>
      <c r="G49" s="319"/>
      <c r="H49" s="318"/>
      <c r="I49" s="317"/>
      <c r="J49" s="316"/>
      <c r="K49" s="315"/>
      <c r="L49" s="315"/>
      <c r="M49" s="315"/>
      <c r="N49" s="314"/>
      <c r="O49" s="314"/>
    </row>
    <row r="50" spans="1:15" s="323" customFormat="1" ht="13.5" hidden="1">
      <c r="A50" s="1447"/>
      <c r="B50" s="1447" t="s">
        <v>101</v>
      </c>
      <c r="C50" s="1438" t="s">
        <v>102</v>
      </c>
      <c r="D50" s="336" t="s">
        <v>21</v>
      </c>
      <c r="E50" s="335">
        <f t="shared" ref="E50:G51" si="7">E54</f>
        <v>6000</v>
      </c>
      <c r="F50" s="335">
        <f t="shared" si="7"/>
        <v>5700</v>
      </c>
      <c r="G50" s="335">
        <f t="shared" si="7"/>
        <v>300</v>
      </c>
      <c r="H50" s="334"/>
      <c r="I50" s="327"/>
      <c r="J50" s="326"/>
      <c r="K50" s="325"/>
      <c r="L50" s="325"/>
      <c r="M50" s="325"/>
      <c r="N50" s="324"/>
      <c r="O50" s="324"/>
    </row>
    <row r="51" spans="1:15" s="323" customFormat="1" ht="13.5" hidden="1">
      <c r="A51" s="1448"/>
      <c r="B51" s="1448"/>
      <c r="C51" s="1439"/>
      <c r="D51" s="336" t="s">
        <v>22</v>
      </c>
      <c r="E51" s="335">
        <f t="shared" si="7"/>
        <v>0</v>
      </c>
      <c r="F51" s="335">
        <f t="shared" si="7"/>
        <v>0</v>
      </c>
      <c r="G51" s="335">
        <f t="shared" si="7"/>
        <v>0</v>
      </c>
      <c r="H51" s="334"/>
      <c r="I51" s="327"/>
      <c r="J51" s="326"/>
      <c r="K51" s="325"/>
      <c r="L51" s="325"/>
      <c r="M51" s="325"/>
      <c r="N51" s="324"/>
      <c r="O51" s="324"/>
    </row>
    <row r="52" spans="1:15" s="323" customFormat="1" ht="13.5" hidden="1">
      <c r="A52" s="1449"/>
      <c r="B52" s="1449"/>
      <c r="C52" s="1440"/>
      <c r="D52" s="336" t="s">
        <v>23</v>
      </c>
      <c r="E52" s="335">
        <f>E50+E51</f>
        <v>6000</v>
      </c>
      <c r="F52" s="335">
        <f>F50+F51</f>
        <v>5700</v>
      </c>
      <c r="G52" s="335">
        <f>G50+G51</f>
        <v>300</v>
      </c>
      <c r="H52" s="334"/>
      <c r="I52" s="327"/>
      <c r="J52" s="326"/>
      <c r="K52" s="325"/>
      <c r="L52" s="325"/>
      <c r="M52" s="325"/>
      <c r="N52" s="324"/>
      <c r="O52" s="324"/>
    </row>
    <row r="53" spans="1:15" s="313" customFormat="1" ht="7.5" hidden="1" customHeight="1">
      <c r="A53" s="322"/>
      <c r="B53" s="322"/>
      <c r="C53" s="321"/>
      <c r="D53" s="320"/>
      <c r="E53" s="319"/>
      <c r="F53" s="319"/>
      <c r="G53" s="319"/>
      <c r="H53" s="318"/>
      <c r="I53" s="317"/>
      <c r="J53" s="316"/>
      <c r="K53" s="315"/>
      <c r="L53" s="315"/>
      <c r="M53" s="315"/>
      <c r="N53" s="314"/>
      <c r="O53" s="314"/>
    </row>
    <row r="54" spans="1:15" s="323" customFormat="1" ht="13.5" hidden="1">
      <c r="A54" s="1441"/>
      <c r="B54" s="1441" t="s">
        <v>478</v>
      </c>
      <c r="C54" s="1444" t="s">
        <v>479</v>
      </c>
      <c r="D54" s="329" t="s">
        <v>21</v>
      </c>
      <c r="E54" s="330">
        <f t="shared" ref="E54:G55" si="8">E58</f>
        <v>6000</v>
      </c>
      <c r="F54" s="330">
        <f t="shared" si="8"/>
        <v>5700</v>
      </c>
      <c r="G54" s="330">
        <f t="shared" si="8"/>
        <v>300</v>
      </c>
      <c r="H54" s="333"/>
      <c r="I54" s="327"/>
      <c r="J54" s="326"/>
      <c r="K54" s="325"/>
      <c r="L54" s="325"/>
      <c r="M54" s="325"/>
      <c r="N54" s="324"/>
      <c r="O54" s="324"/>
    </row>
    <row r="55" spans="1:15" s="323" customFormat="1" ht="13.5" hidden="1">
      <c r="A55" s="1442"/>
      <c r="B55" s="1442"/>
      <c r="C55" s="1445"/>
      <c r="D55" s="329" t="s">
        <v>22</v>
      </c>
      <c r="E55" s="330">
        <f t="shared" si="8"/>
        <v>0</v>
      </c>
      <c r="F55" s="330">
        <f t="shared" si="8"/>
        <v>0</v>
      </c>
      <c r="G55" s="330">
        <f t="shared" si="8"/>
        <v>0</v>
      </c>
      <c r="H55" s="333"/>
      <c r="I55" s="327"/>
      <c r="J55" s="326"/>
      <c r="K55" s="325"/>
      <c r="L55" s="325"/>
      <c r="M55" s="325"/>
      <c r="N55" s="324"/>
      <c r="O55" s="324"/>
    </row>
    <row r="56" spans="1:15" s="323" customFormat="1" ht="13.5" hidden="1">
      <c r="A56" s="1443"/>
      <c r="B56" s="1443"/>
      <c r="C56" s="1446"/>
      <c r="D56" s="329" t="s">
        <v>23</v>
      </c>
      <c r="E56" s="330">
        <f>E54+E55</f>
        <v>6000</v>
      </c>
      <c r="F56" s="330">
        <f>F54+F55</f>
        <v>5700</v>
      </c>
      <c r="G56" s="330">
        <f>G54+G55</f>
        <v>300</v>
      </c>
      <c r="H56" s="333"/>
      <c r="I56" s="327"/>
      <c r="J56" s="326"/>
      <c r="K56" s="325"/>
      <c r="L56" s="325"/>
      <c r="M56" s="325"/>
      <c r="N56" s="324"/>
      <c r="O56" s="324"/>
    </row>
    <row r="57" spans="1:15" s="323" customFormat="1" ht="7.5" hidden="1" customHeight="1">
      <c r="A57" s="332"/>
      <c r="B57" s="332"/>
      <c r="C57" s="331"/>
      <c r="D57" s="329"/>
      <c r="E57" s="330"/>
      <c r="F57" s="329"/>
      <c r="G57" s="329"/>
      <c r="H57" s="328"/>
      <c r="I57" s="327"/>
      <c r="J57" s="326"/>
      <c r="K57" s="325"/>
      <c r="L57" s="325"/>
      <c r="M57" s="325"/>
      <c r="N57" s="324"/>
      <c r="O57" s="324"/>
    </row>
    <row r="58" spans="1:15" s="313" customFormat="1" hidden="1">
      <c r="A58" s="1450"/>
      <c r="B58" s="1450" t="s">
        <v>472</v>
      </c>
      <c r="C58" s="1453" t="s">
        <v>473</v>
      </c>
      <c r="D58" s="320" t="s">
        <v>21</v>
      </c>
      <c r="E58" s="319">
        <f>F58+G58</f>
        <v>6000</v>
      </c>
      <c r="F58" s="319">
        <v>5700</v>
      </c>
      <c r="G58" s="319">
        <v>300</v>
      </c>
      <c r="H58" s="318"/>
      <c r="I58" s="317"/>
      <c r="J58" s="316"/>
      <c r="K58" s="315"/>
      <c r="L58" s="315"/>
      <c r="M58" s="315"/>
      <c r="N58" s="314"/>
      <c r="O58" s="314"/>
    </row>
    <row r="59" spans="1:15" s="313" customFormat="1" hidden="1">
      <c r="A59" s="1451"/>
      <c r="B59" s="1451"/>
      <c r="C59" s="1454"/>
      <c r="D59" s="320" t="s">
        <v>22</v>
      </c>
      <c r="E59" s="319">
        <f>F59+G59</f>
        <v>0</v>
      </c>
      <c r="F59" s="319"/>
      <c r="G59" s="319"/>
      <c r="H59" s="318"/>
      <c r="I59" s="317"/>
      <c r="J59" s="316"/>
      <c r="K59" s="315"/>
      <c r="L59" s="315"/>
      <c r="M59" s="315"/>
      <c r="N59" s="314"/>
      <c r="O59" s="314"/>
    </row>
    <row r="60" spans="1:15" s="313" customFormat="1" hidden="1">
      <c r="A60" s="1452"/>
      <c r="B60" s="1452"/>
      <c r="C60" s="1455"/>
      <c r="D60" s="320" t="s">
        <v>23</v>
      </c>
      <c r="E60" s="319">
        <f>E58+E59</f>
        <v>6000</v>
      </c>
      <c r="F60" s="319">
        <f>F58+F59</f>
        <v>5700</v>
      </c>
      <c r="G60" s="319">
        <f>G58+G59</f>
        <v>300</v>
      </c>
      <c r="H60" s="318"/>
      <c r="I60" s="317"/>
      <c r="J60" s="316"/>
      <c r="K60" s="315"/>
      <c r="L60" s="315"/>
      <c r="M60" s="315"/>
      <c r="N60" s="314"/>
      <c r="O60" s="314"/>
    </row>
    <row r="61" spans="1:15" s="313" customFormat="1" ht="7.5" hidden="1" customHeight="1">
      <c r="A61" s="322"/>
      <c r="B61" s="322"/>
      <c r="C61" s="321"/>
      <c r="D61" s="320"/>
      <c r="E61" s="319"/>
      <c r="F61" s="319"/>
      <c r="G61" s="319"/>
      <c r="H61" s="318"/>
      <c r="I61" s="317"/>
      <c r="J61" s="316"/>
      <c r="K61" s="315"/>
      <c r="L61" s="315"/>
      <c r="M61" s="315"/>
      <c r="N61" s="314"/>
      <c r="O61" s="314"/>
    </row>
    <row r="63" spans="1:15">
      <c r="A63" s="312" t="s">
        <v>5</v>
      </c>
    </row>
    <row r="64" spans="1:15">
      <c r="A64" s="312" t="s">
        <v>211</v>
      </c>
    </row>
    <row r="65" spans="1:1">
      <c r="A65" s="312" t="s">
        <v>212</v>
      </c>
    </row>
    <row r="66" spans="1:1">
      <c r="A66" s="312" t="s">
        <v>213</v>
      </c>
    </row>
  </sheetData>
  <sheetProtection password="C25B" sheet="1"/>
  <mergeCells count="48">
    <mergeCell ref="A2:G2"/>
    <mergeCell ref="A3:G3"/>
    <mergeCell ref="A4:G4"/>
    <mergeCell ref="A6:A7"/>
    <mergeCell ref="B6:B7"/>
    <mergeCell ref="C6:C7"/>
    <mergeCell ref="E6:E7"/>
    <mergeCell ref="F6:G6"/>
    <mergeCell ref="D6:D7"/>
    <mergeCell ref="A58:A60"/>
    <mergeCell ref="B58:B60"/>
    <mergeCell ref="C58:C60"/>
    <mergeCell ref="A54:A56"/>
    <mergeCell ref="B54:B56"/>
    <mergeCell ref="C54:C56"/>
    <mergeCell ref="A50:A52"/>
    <mergeCell ref="B50:B52"/>
    <mergeCell ref="C50:C52"/>
    <mergeCell ref="A46:A48"/>
    <mergeCell ref="B46:B48"/>
    <mergeCell ref="C46:C48"/>
    <mergeCell ref="A42:A44"/>
    <mergeCell ref="B42:B44"/>
    <mergeCell ref="C42:C44"/>
    <mergeCell ref="A38:A40"/>
    <mergeCell ref="B38:B40"/>
    <mergeCell ref="C38:C40"/>
    <mergeCell ref="A34:A36"/>
    <mergeCell ref="B34:B36"/>
    <mergeCell ref="C34:C36"/>
    <mergeCell ref="A30:A32"/>
    <mergeCell ref="B30:B32"/>
    <mergeCell ref="C30:C32"/>
    <mergeCell ref="A26:A28"/>
    <mergeCell ref="B26:B28"/>
    <mergeCell ref="C26:C28"/>
    <mergeCell ref="A22:A24"/>
    <mergeCell ref="B22:B24"/>
    <mergeCell ref="C22:C24"/>
    <mergeCell ref="A10:A12"/>
    <mergeCell ref="B10:B12"/>
    <mergeCell ref="C10:C12"/>
    <mergeCell ref="A18:A20"/>
    <mergeCell ref="B18:B20"/>
    <mergeCell ref="C18:C20"/>
    <mergeCell ref="A14:A16"/>
    <mergeCell ref="B14:B16"/>
    <mergeCell ref="C14:C1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zoomScaleNormal="100" workbookViewId="0">
      <selection sqref="A1:G40"/>
    </sheetView>
  </sheetViews>
  <sheetFormatPr defaultColWidth="8" defaultRowHeight="12.75"/>
  <cols>
    <col min="1" max="1" width="5.375" style="891" customWidth="1"/>
    <col min="2" max="2" width="7.625" style="891" customWidth="1"/>
    <col min="3" max="3" width="16" style="884" customWidth="1"/>
    <col min="4" max="4" width="34.625" style="884" customWidth="1"/>
    <col min="5" max="5" width="2.375" style="729" customWidth="1"/>
    <col min="6" max="6" width="12.875" style="887" customWidth="1"/>
    <col min="7" max="7" width="14.375" style="884" customWidth="1"/>
    <col min="8" max="8" width="8.25" style="884" bestFit="1" customWidth="1"/>
    <col min="9" max="16384" width="8" style="894"/>
  </cols>
  <sheetData>
    <row r="1" spans="1:8" s="898" customFormat="1" ht="15" customHeight="1">
      <c r="A1" s="895"/>
      <c r="B1" s="895"/>
      <c r="C1" s="896"/>
      <c r="D1" s="1462" t="s">
        <v>1242</v>
      </c>
      <c r="E1" s="1462"/>
      <c r="F1" s="1462"/>
      <c r="G1" s="1462"/>
      <c r="H1" s="897"/>
    </row>
    <row r="2" spans="1:8" s="898" customFormat="1" ht="15" customHeight="1">
      <c r="A2" s="895"/>
      <c r="B2" s="895"/>
      <c r="C2" s="896"/>
      <c r="D2" s="1463" t="s">
        <v>1243</v>
      </c>
      <c r="E2" s="1463"/>
      <c r="F2" s="1463"/>
      <c r="G2" s="1463"/>
      <c r="H2" s="897"/>
    </row>
    <row r="3" spans="1:8" s="898" customFormat="1" ht="9.75" customHeight="1">
      <c r="A3" s="895"/>
      <c r="B3" s="895"/>
      <c r="C3" s="897"/>
      <c r="D3" s="1463" t="s">
        <v>1244</v>
      </c>
      <c r="E3" s="1463"/>
      <c r="F3" s="1463"/>
      <c r="G3" s="1463"/>
      <c r="H3" s="897"/>
    </row>
    <row r="4" spans="1:8" s="898" customFormat="1" ht="42" customHeight="1">
      <c r="A4" s="1464" t="s">
        <v>1245</v>
      </c>
      <c r="B4" s="1464"/>
      <c r="C4" s="1464"/>
      <c r="D4" s="1464"/>
      <c r="E4" s="1464"/>
      <c r="F4" s="1464"/>
      <c r="G4" s="1464"/>
      <c r="H4" s="897"/>
    </row>
    <row r="5" spans="1:8" ht="11.25" customHeight="1">
      <c r="F5" s="899"/>
      <c r="G5" s="900" t="s">
        <v>2</v>
      </c>
    </row>
    <row r="6" spans="1:8" s="734" customFormat="1" ht="25.5" customHeight="1">
      <c r="A6" s="1465" t="s">
        <v>216</v>
      </c>
      <c r="B6" s="1465" t="s">
        <v>223</v>
      </c>
      <c r="C6" s="1467" t="s">
        <v>416</v>
      </c>
      <c r="D6" s="1468"/>
      <c r="E6" s="1469" t="s">
        <v>5</v>
      </c>
      <c r="F6" s="1471" t="s">
        <v>1246</v>
      </c>
      <c r="G6" s="1473" t="s">
        <v>1247</v>
      </c>
      <c r="H6" s="902"/>
    </row>
    <row r="7" spans="1:8" s="734" customFormat="1" ht="29.25" customHeight="1">
      <c r="A7" s="1466"/>
      <c r="B7" s="1466"/>
      <c r="C7" s="901" t="s">
        <v>1248</v>
      </c>
      <c r="D7" s="901" t="s">
        <v>1249</v>
      </c>
      <c r="E7" s="1470"/>
      <c r="F7" s="1472"/>
      <c r="G7" s="1474"/>
      <c r="H7" s="902"/>
    </row>
    <row r="8" spans="1:8" s="764" customFormat="1" ht="11.25">
      <c r="A8" s="903">
        <v>1</v>
      </c>
      <c r="B8" s="903">
        <v>2</v>
      </c>
      <c r="C8" s="904">
        <v>3</v>
      </c>
      <c r="D8" s="904">
        <v>4</v>
      </c>
      <c r="E8" s="905"/>
      <c r="F8" s="906">
        <v>5</v>
      </c>
      <c r="G8" s="904">
        <v>6</v>
      </c>
      <c r="H8" s="907"/>
    </row>
    <row r="9" spans="1:8" s="910" customFormat="1" ht="22.5" customHeight="1">
      <c r="A9" s="1475" t="s">
        <v>20</v>
      </c>
      <c r="B9" s="1476"/>
      <c r="C9" s="1476"/>
      <c r="D9" s="1477"/>
      <c r="E9" s="908" t="s">
        <v>21</v>
      </c>
      <c r="F9" s="909">
        <f t="shared" ref="F9:G11" si="0">F12+F15+F18+F21+F24+F27+F30+F33</f>
        <v>14684891</v>
      </c>
      <c r="G9" s="909">
        <f t="shared" si="0"/>
        <v>16420180</v>
      </c>
    </row>
    <row r="10" spans="1:8" s="910" customFormat="1" ht="22.5" customHeight="1">
      <c r="A10" s="1478"/>
      <c r="B10" s="1479"/>
      <c r="C10" s="1479"/>
      <c r="D10" s="1480"/>
      <c r="E10" s="911" t="s">
        <v>22</v>
      </c>
      <c r="F10" s="909">
        <f t="shared" si="0"/>
        <v>-105540</v>
      </c>
      <c r="G10" s="909">
        <f t="shared" si="0"/>
        <v>-105540</v>
      </c>
    </row>
    <row r="11" spans="1:8" s="910" customFormat="1" ht="22.5" customHeight="1">
      <c r="A11" s="1481"/>
      <c r="B11" s="1482"/>
      <c r="C11" s="1482"/>
      <c r="D11" s="1483"/>
      <c r="E11" s="911" t="s">
        <v>23</v>
      </c>
      <c r="F11" s="909">
        <f t="shared" si="0"/>
        <v>14579351</v>
      </c>
      <c r="G11" s="909">
        <f t="shared" si="0"/>
        <v>16314640</v>
      </c>
    </row>
    <row r="12" spans="1:8" s="812" customFormat="1" ht="15" hidden="1" customHeight="1">
      <c r="A12" s="913" t="s">
        <v>24</v>
      </c>
      <c r="B12" s="913" t="s">
        <v>32</v>
      </c>
      <c r="C12" s="1484" t="s">
        <v>1250</v>
      </c>
      <c r="D12" s="1487" t="s">
        <v>1251</v>
      </c>
      <c r="E12" s="915" t="s">
        <v>21</v>
      </c>
      <c r="F12" s="916">
        <v>4300000</v>
      </c>
      <c r="G12" s="917">
        <v>4300000</v>
      </c>
      <c r="H12" s="918"/>
    </row>
    <row r="13" spans="1:8" s="812" customFormat="1" ht="15" hidden="1" customHeight="1">
      <c r="A13" s="919"/>
      <c r="B13" s="919"/>
      <c r="C13" s="1485"/>
      <c r="D13" s="1488"/>
      <c r="E13" s="915" t="s">
        <v>22</v>
      </c>
      <c r="F13" s="916">
        <v>0</v>
      </c>
      <c r="G13" s="917">
        <v>0</v>
      </c>
      <c r="H13" s="918"/>
    </row>
    <row r="14" spans="1:8" s="812" customFormat="1" ht="15" hidden="1" customHeight="1">
      <c r="A14" s="919"/>
      <c r="B14" s="919"/>
      <c r="C14" s="1486"/>
      <c r="D14" s="1489"/>
      <c r="E14" s="915" t="s">
        <v>23</v>
      </c>
      <c r="F14" s="916">
        <f>F12+F13</f>
        <v>4300000</v>
      </c>
      <c r="G14" s="916">
        <f>G12+G13</f>
        <v>4300000</v>
      </c>
      <c r="H14" s="918"/>
    </row>
    <row r="15" spans="1:8" s="812" customFormat="1" ht="24.95" hidden="1" customHeight="1">
      <c r="A15" s="919"/>
      <c r="B15" s="919"/>
      <c r="C15" s="1484" t="s">
        <v>1250</v>
      </c>
      <c r="D15" s="1487" t="s">
        <v>1252</v>
      </c>
      <c r="E15" s="915" t="s">
        <v>21</v>
      </c>
      <c r="F15" s="916">
        <v>100000</v>
      </c>
      <c r="G15" s="917">
        <v>100000</v>
      </c>
      <c r="H15" s="918"/>
    </row>
    <row r="16" spans="1:8" s="812" customFormat="1" ht="24.95" hidden="1" customHeight="1">
      <c r="A16" s="919"/>
      <c r="B16" s="919"/>
      <c r="C16" s="1485"/>
      <c r="D16" s="1488"/>
      <c r="E16" s="915" t="s">
        <v>22</v>
      </c>
      <c r="F16" s="916">
        <v>0</v>
      </c>
      <c r="G16" s="917">
        <v>0</v>
      </c>
      <c r="H16" s="918"/>
    </row>
    <row r="17" spans="1:8" s="812" customFormat="1" ht="24.95" hidden="1" customHeight="1">
      <c r="A17" s="919"/>
      <c r="B17" s="919"/>
      <c r="C17" s="1486"/>
      <c r="D17" s="1489"/>
      <c r="E17" s="915" t="s">
        <v>23</v>
      </c>
      <c r="F17" s="916">
        <f>F15+F16</f>
        <v>100000</v>
      </c>
      <c r="G17" s="916">
        <f>G15+G16</f>
        <v>100000</v>
      </c>
      <c r="H17" s="918"/>
    </row>
    <row r="18" spans="1:8" s="812" customFormat="1" ht="24.95" hidden="1" customHeight="1">
      <c r="A18" s="919"/>
      <c r="B18" s="919"/>
      <c r="C18" s="1484" t="s">
        <v>1250</v>
      </c>
      <c r="D18" s="1487" t="s">
        <v>1253</v>
      </c>
      <c r="E18" s="915" t="s">
        <v>21</v>
      </c>
      <c r="F18" s="916">
        <v>1200000</v>
      </c>
      <c r="G18" s="917">
        <v>1200000</v>
      </c>
      <c r="H18" s="918"/>
    </row>
    <row r="19" spans="1:8" s="812" customFormat="1" ht="24.95" hidden="1" customHeight="1">
      <c r="A19" s="919"/>
      <c r="B19" s="919"/>
      <c r="C19" s="1485"/>
      <c r="D19" s="1488"/>
      <c r="E19" s="915" t="s">
        <v>22</v>
      </c>
      <c r="F19" s="916">
        <v>0</v>
      </c>
      <c r="G19" s="917">
        <v>0</v>
      </c>
      <c r="H19" s="918"/>
    </row>
    <row r="20" spans="1:8" s="812" customFormat="1" ht="24.95" hidden="1" customHeight="1">
      <c r="A20" s="920"/>
      <c r="B20" s="920"/>
      <c r="C20" s="1486"/>
      <c r="D20" s="1489"/>
      <c r="E20" s="915" t="s">
        <v>23</v>
      </c>
      <c r="F20" s="916">
        <f>F18+F19</f>
        <v>1200000</v>
      </c>
      <c r="G20" s="916">
        <f>G18+G19</f>
        <v>1200000</v>
      </c>
      <c r="H20" s="918"/>
    </row>
    <row r="21" spans="1:8" s="812" customFormat="1" ht="15" customHeight="1">
      <c r="A21" s="913" t="s">
        <v>38</v>
      </c>
      <c r="B21" s="913" t="s">
        <v>42</v>
      </c>
      <c r="C21" s="1493" t="s">
        <v>1250</v>
      </c>
      <c r="D21" s="1487" t="s">
        <v>1254</v>
      </c>
      <c r="E21" s="915" t="s">
        <v>21</v>
      </c>
      <c r="F21" s="916">
        <v>380000</v>
      </c>
      <c r="G21" s="917">
        <v>380000</v>
      </c>
      <c r="H21" s="918"/>
    </row>
    <row r="22" spans="1:8" s="812" customFormat="1" ht="15" customHeight="1">
      <c r="A22" s="919"/>
      <c r="B22" s="919"/>
      <c r="C22" s="1494"/>
      <c r="D22" s="1496"/>
      <c r="E22" s="921" t="s">
        <v>22</v>
      </c>
      <c r="F22" s="916">
        <v>-105540</v>
      </c>
      <c r="G22" s="917">
        <v>-105540</v>
      </c>
      <c r="H22" s="918"/>
    </row>
    <row r="23" spans="1:8" s="812" customFormat="1" ht="15" customHeight="1">
      <c r="A23" s="920"/>
      <c r="B23" s="920"/>
      <c r="C23" s="1495"/>
      <c r="D23" s="1497"/>
      <c r="E23" s="921" t="s">
        <v>23</v>
      </c>
      <c r="F23" s="916">
        <f>F21+F22</f>
        <v>274460</v>
      </c>
      <c r="G23" s="916">
        <f>G21+G22</f>
        <v>274460</v>
      </c>
      <c r="H23" s="918"/>
    </row>
    <row r="24" spans="1:8" s="812" customFormat="1" ht="18" hidden="1" customHeight="1">
      <c r="A24" s="913" t="s">
        <v>56</v>
      </c>
      <c r="B24" s="913" t="s">
        <v>1121</v>
      </c>
      <c r="C24" s="1493" t="s">
        <v>1250</v>
      </c>
      <c r="D24" s="1487" t="s">
        <v>1122</v>
      </c>
      <c r="E24" s="922" t="s">
        <v>21</v>
      </c>
      <c r="F24" s="916">
        <v>6480450</v>
      </c>
      <c r="G24" s="917">
        <v>8203199</v>
      </c>
      <c r="H24" s="918"/>
    </row>
    <row r="25" spans="1:8" s="812" customFormat="1" ht="18" hidden="1" customHeight="1">
      <c r="A25" s="919"/>
      <c r="B25" s="919"/>
      <c r="C25" s="1494"/>
      <c r="D25" s="1496"/>
      <c r="E25" s="810" t="s">
        <v>22</v>
      </c>
      <c r="F25" s="916">
        <v>0</v>
      </c>
      <c r="G25" s="917">
        <v>0</v>
      </c>
      <c r="H25" s="918"/>
    </row>
    <row r="26" spans="1:8" s="812" customFormat="1" ht="18" hidden="1" customHeight="1">
      <c r="A26" s="920"/>
      <c r="B26" s="920"/>
      <c r="C26" s="1495"/>
      <c r="D26" s="1497"/>
      <c r="E26" s="810" t="s">
        <v>23</v>
      </c>
      <c r="F26" s="916">
        <f>F24+F25</f>
        <v>6480450</v>
      </c>
      <c r="G26" s="916">
        <f>G24+G25</f>
        <v>8203199</v>
      </c>
      <c r="H26" s="918"/>
    </row>
    <row r="27" spans="1:8" s="812" customFormat="1" ht="15" hidden="1" customHeight="1">
      <c r="A27" s="913" t="s">
        <v>101</v>
      </c>
      <c r="B27" s="913" t="s">
        <v>113</v>
      </c>
      <c r="C27" s="1490" t="s">
        <v>1255</v>
      </c>
      <c r="D27" s="1487" t="s">
        <v>1256</v>
      </c>
      <c r="E27" s="915" t="s">
        <v>21</v>
      </c>
      <c r="F27" s="916">
        <v>1712050</v>
      </c>
      <c r="G27" s="917">
        <v>1712050</v>
      </c>
      <c r="H27" s="918"/>
    </row>
    <row r="28" spans="1:8" s="812" customFormat="1" ht="15" hidden="1" customHeight="1">
      <c r="A28" s="919"/>
      <c r="B28" s="919"/>
      <c r="C28" s="1491"/>
      <c r="D28" s="1488"/>
      <c r="E28" s="915" t="s">
        <v>22</v>
      </c>
      <c r="F28" s="916">
        <v>0</v>
      </c>
      <c r="G28" s="917">
        <v>0</v>
      </c>
      <c r="H28" s="918"/>
    </row>
    <row r="29" spans="1:8" s="812" customFormat="1" ht="15" hidden="1" customHeight="1">
      <c r="A29" s="919"/>
      <c r="B29" s="919"/>
      <c r="C29" s="1492"/>
      <c r="D29" s="1489"/>
      <c r="E29" s="915" t="s">
        <v>23</v>
      </c>
      <c r="F29" s="916">
        <f>F27+F28</f>
        <v>1712050</v>
      </c>
      <c r="G29" s="916">
        <f>G27+G28</f>
        <v>1712050</v>
      </c>
      <c r="H29" s="918"/>
    </row>
    <row r="30" spans="1:8" s="812" customFormat="1" ht="15" hidden="1" customHeight="1">
      <c r="A30" s="919"/>
      <c r="B30" s="919"/>
      <c r="C30" s="1490" t="s">
        <v>1255</v>
      </c>
      <c r="D30" s="1487" t="s">
        <v>1257</v>
      </c>
      <c r="E30" s="915" t="s">
        <v>21</v>
      </c>
      <c r="F30" s="916">
        <v>112860</v>
      </c>
      <c r="G30" s="917">
        <v>125400</v>
      </c>
      <c r="H30" s="918"/>
    </row>
    <row r="31" spans="1:8" s="812" customFormat="1" ht="15" hidden="1" customHeight="1">
      <c r="A31" s="919"/>
      <c r="B31" s="919"/>
      <c r="C31" s="1491"/>
      <c r="D31" s="1488"/>
      <c r="E31" s="915" t="s">
        <v>22</v>
      </c>
      <c r="F31" s="916">
        <v>0</v>
      </c>
      <c r="G31" s="917">
        <v>0</v>
      </c>
      <c r="H31" s="918"/>
    </row>
    <row r="32" spans="1:8" s="812" customFormat="1" ht="15" hidden="1" customHeight="1">
      <c r="A32" s="920"/>
      <c r="B32" s="920"/>
      <c r="C32" s="1492"/>
      <c r="D32" s="1489"/>
      <c r="E32" s="915" t="s">
        <v>23</v>
      </c>
      <c r="F32" s="916">
        <f>F30+F31</f>
        <v>112860</v>
      </c>
      <c r="G32" s="916">
        <f>G30+G31</f>
        <v>125400</v>
      </c>
      <c r="H32" s="918"/>
    </row>
    <row r="33" spans="1:8" s="812" customFormat="1" ht="15" hidden="1" customHeight="1">
      <c r="A33" s="913" t="s">
        <v>131</v>
      </c>
      <c r="B33" s="913" t="s">
        <v>148</v>
      </c>
      <c r="C33" s="1493" t="s">
        <v>1250</v>
      </c>
      <c r="D33" s="1487" t="s">
        <v>1258</v>
      </c>
      <c r="E33" s="914" t="s">
        <v>21</v>
      </c>
      <c r="F33" s="923">
        <v>399531</v>
      </c>
      <c r="G33" s="924">
        <v>399531</v>
      </c>
      <c r="H33" s="918"/>
    </row>
    <row r="34" spans="1:8" s="925" customFormat="1" ht="15" hidden="1" customHeight="1">
      <c r="A34" s="919"/>
      <c r="B34" s="919"/>
      <c r="C34" s="1494"/>
      <c r="D34" s="1496"/>
      <c r="E34" s="914" t="s">
        <v>22</v>
      </c>
      <c r="F34" s="923">
        <v>0</v>
      </c>
      <c r="G34" s="924">
        <v>0</v>
      </c>
      <c r="H34" s="890"/>
    </row>
    <row r="35" spans="1:8" s="812" customFormat="1" ht="15" hidden="1" customHeight="1">
      <c r="A35" s="920"/>
      <c r="B35" s="920"/>
      <c r="C35" s="1495"/>
      <c r="D35" s="1497"/>
      <c r="E35" s="926" t="s">
        <v>23</v>
      </c>
      <c r="F35" s="923">
        <f>F33+F34</f>
        <v>399531</v>
      </c>
      <c r="G35" s="923">
        <f>G33+G34</f>
        <v>399531</v>
      </c>
      <c r="H35" s="918"/>
    </row>
    <row r="36" spans="1:8" s="925" customFormat="1" ht="14.25" customHeight="1">
      <c r="A36" s="892" t="s">
        <v>1233</v>
      </c>
      <c r="B36" s="891"/>
      <c r="C36" s="884"/>
      <c r="D36" s="884"/>
      <c r="E36" s="729"/>
      <c r="F36" s="887"/>
      <c r="G36" s="890"/>
      <c r="H36" s="890"/>
    </row>
    <row r="37" spans="1:8" s="892" customFormat="1" ht="14.25" customHeight="1">
      <c r="A37" s="892" t="s">
        <v>1259</v>
      </c>
      <c r="C37" s="927"/>
      <c r="D37" s="927"/>
      <c r="E37" s="928"/>
      <c r="F37" s="899"/>
      <c r="G37" s="927"/>
      <c r="H37" s="927"/>
    </row>
    <row r="38" spans="1:8" s="930" customFormat="1" ht="14.25" customHeight="1">
      <c r="A38" s="892" t="s">
        <v>1260</v>
      </c>
      <c r="B38" s="892"/>
      <c r="C38" s="927"/>
      <c r="D38" s="927"/>
      <c r="E38" s="928"/>
      <c r="F38" s="899"/>
      <c r="G38" s="929"/>
      <c r="H38" s="929"/>
    </row>
    <row r="39" spans="1:8" s="892" customFormat="1" ht="14.25" customHeight="1">
      <c r="A39" s="892" t="s">
        <v>1261</v>
      </c>
      <c r="C39" s="927"/>
      <c r="D39" s="927"/>
      <c r="E39" s="928"/>
      <c r="F39" s="899"/>
      <c r="G39" s="927"/>
      <c r="H39" s="927"/>
    </row>
    <row r="40" spans="1:8" ht="30" customHeight="1"/>
    <row r="41" spans="1:8" s="889" customFormat="1" ht="22.5" customHeight="1">
      <c r="A41" s="891"/>
      <c r="B41" s="891"/>
      <c r="C41" s="884"/>
      <c r="D41" s="884"/>
      <c r="E41" s="729"/>
      <c r="F41" s="887"/>
      <c r="G41" s="931"/>
      <c r="H41" s="931"/>
    </row>
    <row r="42" spans="1:8" ht="30" customHeight="1"/>
    <row r="43" spans="1:8" ht="28.5" customHeight="1"/>
    <row r="44" spans="1:8" s="925" customFormat="1" ht="24.75" customHeight="1">
      <c r="A44" s="891"/>
      <c r="B44" s="891"/>
      <c r="C44" s="884"/>
      <c r="D44" s="884"/>
      <c r="E44" s="729"/>
      <c r="F44" s="887"/>
      <c r="G44" s="890"/>
      <c r="H44" s="890"/>
    </row>
    <row r="45" spans="1:8" ht="24.75" customHeight="1"/>
    <row r="46" spans="1:8" s="932" customFormat="1" ht="21" customHeight="1">
      <c r="A46" s="891"/>
      <c r="B46" s="891"/>
      <c r="C46" s="884"/>
      <c r="D46" s="884"/>
      <c r="E46" s="729"/>
      <c r="F46" s="887"/>
      <c r="G46" s="883"/>
      <c r="H46" s="883"/>
    </row>
    <row r="48" spans="1:8" ht="9" customHeight="1"/>
    <row r="49" spans="1:8" s="802" customFormat="1" ht="35.25" customHeight="1">
      <c r="A49" s="891"/>
      <c r="B49" s="891"/>
      <c r="C49" s="884"/>
      <c r="D49" s="884"/>
      <c r="E49" s="729"/>
      <c r="F49" s="887"/>
    </row>
    <row r="50" spans="1:8" s="925" customFormat="1" ht="22.5" customHeight="1">
      <c r="A50" s="891"/>
      <c r="B50" s="891"/>
      <c r="C50" s="884"/>
      <c r="D50" s="884"/>
      <c r="E50" s="729"/>
      <c r="F50" s="887"/>
      <c r="G50" s="890"/>
      <c r="H50" s="890"/>
    </row>
    <row r="51" spans="1:8" ht="41.25" customHeight="1"/>
    <row r="52" spans="1:8" s="802" customFormat="1" ht="21.75" customHeight="1">
      <c r="A52" s="891"/>
      <c r="B52" s="891"/>
      <c r="C52" s="884"/>
      <c r="D52" s="884"/>
      <c r="E52" s="729"/>
      <c r="F52" s="887"/>
    </row>
    <row r="53" spans="1:8" ht="21.75" customHeight="1">
      <c r="G53" s="894"/>
      <c r="H53" s="894"/>
    </row>
    <row r="54" spans="1:8" ht="24.75" customHeight="1">
      <c r="G54" s="894"/>
      <c r="H54" s="894"/>
    </row>
    <row r="55" spans="1:8" ht="12" customHeight="1">
      <c r="G55" s="894"/>
      <c r="H55" s="894"/>
    </row>
    <row r="56" spans="1:8" s="933" customFormat="1" ht="30.75" customHeight="1">
      <c r="A56" s="891"/>
      <c r="B56" s="891"/>
      <c r="C56" s="884"/>
      <c r="D56" s="884"/>
      <c r="E56" s="729"/>
      <c r="F56" s="887"/>
    </row>
    <row r="57" spans="1:8" s="802" customFormat="1" ht="21.75" customHeight="1">
      <c r="A57" s="891"/>
      <c r="B57" s="891"/>
      <c r="C57" s="884"/>
      <c r="D57" s="884"/>
      <c r="E57" s="729"/>
      <c r="F57" s="887"/>
    </row>
    <row r="58" spans="1:8" s="934" customFormat="1" ht="21.75" customHeight="1">
      <c r="A58" s="891"/>
      <c r="B58" s="891"/>
      <c r="C58" s="884"/>
      <c r="D58" s="884"/>
      <c r="E58" s="729"/>
      <c r="F58" s="887"/>
    </row>
    <row r="59" spans="1:8" s="934" customFormat="1" ht="21.75" customHeight="1">
      <c r="A59" s="891"/>
      <c r="B59" s="891"/>
      <c r="C59" s="884"/>
      <c r="D59" s="884"/>
      <c r="E59" s="729"/>
      <c r="F59" s="887"/>
    </row>
    <row r="61" spans="1:8" s="734" customFormat="1" ht="24" customHeight="1">
      <c r="A61" s="891"/>
      <c r="B61" s="891"/>
      <c r="C61" s="884"/>
      <c r="D61" s="884"/>
      <c r="E61" s="729"/>
      <c r="F61" s="887"/>
      <c r="G61" s="902"/>
      <c r="H61" s="902"/>
    </row>
    <row r="62" spans="1:8" s="734" customFormat="1" ht="24" customHeight="1">
      <c r="A62" s="891"/>
      <c r="B62" s="891"/>
      <c r="C62" s="884"/>
      <c r="D62" s="884"/>
      <c r="E62" s="729"/>
      <c r="F62" s="887"/>
      <c r="G62" s="902"/>
      <c r="H62" s="902"/>
    </row>
    <row r="63" spans="1:8" s="721" customFormat="1" ht="24" customHeight="1">
      <c r="A63" s="891"/>
      <c r="B63" s="891"/>
      <c r="C63" s="884"/>
      <c r="D63" s="884"/>
      <c r="E63" s="729"/>
      <c r="F63" s="887"/>
      <c r="G63" s="727"/>
      <c r="H63" s="727"/>
    </row>
    <row r="64" spans="1:8" s="721" customFormat="1" ht="24" customHeight="1">
      <c r="A64" s="891"/>
      <c r="B64" s="891"/>
      <c r="C64" s="884"/>
      <c r="D64" s="884"/>
      <c r="E64" s="729"/>
      <c r="F64" s="887"/>
      <c r="G64" s="727"/>
      <c r="H64" s="727"/>
    </row>
    <row r="65" spans="1:8" s="734" customFormat="1" ht="21" customHeight="1">
      <c r="A65" s="891"/>
      <c r="B65" s="891"/>
      <c r="C65" s="884"/>
      <c r="D65" s="884"/>
      <c r="E65" s="729"/>
      <c r="F65" s="887"/>
      <c r="G65" s="902"/>
      <c r="H65" s="902"/>
    </row>
    <row r="66" spans="1:8" ht="19.5" customHeight="1"/>
    <row r="67" spans="1:8" ht="21.75" customHeight="1"/>
  </sheetData>
  <sheetProtection password="C25B" sheet="1"/>
  <mergeCells count="27">
    <mergeCell ref="C30:C32"/>
    <mergeCell ref="D30:D32"/>
    <mergeCell ref="C33:C35"/>
    <mergeCell ref="D33:D35"/>
    <mergeCell ref="C21:C23"/>
    <mergeCell ref="D21:D23"/>
    <mergeCell ref="C24:C26"/>
    <mergeCell ref="D24:D26"/>
    <mergeCell ref="C27:C29"/>
    <mergeCell ref="D27:D29"/>
    <mergeCell ref="A9:D11"/>
    <mergeCell ref="C12:C14"/>
    <mergeCell ref="D12:D14"/>
    <mergeCell ref="C15:C17"/>
    <mergeCell ref="D15:D17"/>
    <mergeCell ref="C18:C20"/>
    <mergeCell ref="D18:D20"/>
    <mergeCell ref="D1:G1"/>
    <mergeCell ref="D2:G2"/>
    <mergeCell ref="D3:G3"/>
    <mergeCell ref="A4:G4"/>
    <mergeCell ref="A6:A7"/>
    <mergeCell ref="B6:B7"/>
    <mergeCell ref="C6:D6"/>
    <mergeCell ref="E6:E7"/>
    <mergeCell ref="F6:F7"/>
    <mergeCell ref="G6:G7"/>
  </mergeCells>
  <printOptions horizontalCentered="1"/>
  <pageMargins left="0.98425196850393704" right="0.70866141732283472" top="0.98425196850393704" bottom="0.74803149606299213" header="0" footer="0.19685039370078741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topLeftCell="A109" zoomScaleNormal="100" zoomScaleSheetLayoutView="100" workbookViewId="0">
      <selection sqref="A1:G129"/>
    </sheetView>
  </sheetViews>
  <sheetFormatPr defaultColWidth="8" defaultRowHeight="12.75"/>
  <cols>
    <col min="1" max="1" width="4.625" style="891" customWidth="1"/>
    <col min="2" max="2" width="6.625" style="891" customWidth="1"/>
    <col min="3" max="3" width="15.625" style="884" customWidth="1"/>
    <col min="4" max="4" width="42" style="884" customWidth="1"/>
    <col min="5" max="5" width="2.375" style="893" customWidth="1"/>
    <col min="6" max="6" width="13.75" style="887" customWidth="1"/>
    <col min="7" max="7" width="16.125" style="884" customWidth="1"/>
    <col min="8" max="8" width="2.875" style="884" customWidth="1"/>
    <col min="9" max="16384" width="8" style="894"/>
  </cols>
  <sheetData>
    <row r="1" spans="1:8" s="898" customFormat="1" ht="15" customHeight="1">
      <c r="A1" s="895"/>
      <c r="B1" s="895"/>
      <c r="C1" s="896"/>
      <c r="D1" s="935" t="s">
        <v>1262</v>
      </c>
      <c r="E1" s="1462" t="s">
        <v>1263</v>
      </c>
      <c r="F1" s="1462"/>
      <c r="G1" s="1462"/>
      <c r="H1" s="897"/>
    </row>
    <row r="2" spans="1:8" s="898" customFormat="1" ht="15" customHeight="1">
      <c r="A2" s="895"/>
      <c r="B2" s="895"/>
      <c r="C2" s="896"/>
      <c r="D2" s="896" t="s">
        <v>1264</v>
      </c>
      <c r="E2" s="1463" t="s">
        <v>1265</v>
      </c>
      <c r="F2" s="1463"/>
      <c r="G2" s="1463"/>
      <c r="H2" s="897"/>
    </row>
    <row r="3" spans="1:8" s="898" customFormat="1" ht="5.25" customHeight="1">
      <c r="A3" s="895"/>
      <c r="B3" s="895"/>
      <c r="C3" s="897"/>
      <c r="D3" s="1463" t="s">
        <v>1244</v>
      </c>
      <c r="E3" s="1463"/>
      <c r="F3" s="1463"/>
      <c r="G3" s="1463"/>
      <c r="H3" s="897"/>
    </row>
    <row r="4" spans="1:8" s="898" customFormat="1" ht="45.75" customHeight="1">
      <c r="A4" s="1464" t="s">
        <v>1266</v>
      </c>
      <c r="B4" s="1464"/>
      <c r="C4" s="1464"/>
      <c r="D4" s="1464"/>
      <c r="E4" s="1464"/>
      <c r="F4" s="1464"/>
      <c r="G4" s="1464"/>
      <c r="H4" s="897"/>
    </row>
    <row r="5" spans="1:8" ht="8.25" customHeight="1">
      <c r="F5" s="899"/>
      <c r="G5" s="899"/>
    </row>
    <row r="6" spans="1:8" ht="11.25" customHeight="1">
      <c r="F6" s="899"/>
      <c r="G6" s="900" t="s">
        <v>2</v>
      </c>
    </row>
    <row r="7" spans="1:8" s="734" customFormat="1" ht="15.75" customHeight="1">
      <c r="A7" s="1465" t="s">
        <v>216</v>
      </c>
      <c r="B7" s="1465" t="s">
        <v>223</v>
      </c>
      <c r="C7" s="1467" t="s">
        <v>416</v>
      </c>
      <c r="D7" s="1468"/>
      <c r="E7" s="1473" t="s">
        <v>5</v>
      </c>
      <c r="F7" s="1471" t="s">
        <v>1267</v>
      </c>
      <c r="G7" s="1473" t="s">
        <v>1247</v>
      </c>
      <c r="H7" s="902"/>
    </row>
    <row r="8" spans="1:8" s="734" customFormat="1" ht="41.25" customHeight="1">
      <c r="A8" s="1466"/>
      <c r="B8" s="1466"/>
      <c r="C8" s="901" t="s">
        <v>1268</v>
      </c>
      <c r="D8" s="901" t="s">
        <v>1249</v>
      </c>
      <c r="E8" s="1474"/>
      <c r="F8" s="1472"/>
      <c r="G8" s="1474"/>
      <c r="H8" s="902"/>
    </row>
    <row r="9" spans="1:8" s="764" customFormat="1" ht="11.25">
      <c r="A9" s="903">
        <v>1</v>
      </c>
      <c r="B9" s="903">
        <v>2</v>
      </c>
      <c r="C9" s="904">
        <v>3</v>
      </c>
      <c r="D9" s="904">
        <v>4</v>
      </c>
      <c r="E9" s="904"/>
      <c r="F9" s="906">
        <v>5</v>
      </c>
      <c r="G9" s="904">
        <v>6</v>
      </c>
      <c r="H9" s="907"/>
    </row>
    <row r="10" spans="1:8" s="910" customFormat="1" ht="17.25" customHeight="1">
      <c r="A10" s="1475" t="s">
        <v>20</v>
      </c>
      <c r="B10" s="1476"/>
      <c r="C10" s="1476"/>
      <c r="D10" s="1477"/>
      <c r="E10" s="908" t="s">
        <v>21</v>
      </c>
      <c r="F10" s="936">
        <f t="shared" ref="F10:G12" si="0">F14+F17+F20+F23+F26+F29+F32+F35+F44+F47+F38+F50+F41+F53+F56+F59+F62+F65+F68+F71+F74+F77+F80+F83+F86+F89+F92+F95+F98+F101+F104+F107+F110+F113+F116+F119+F122</f>
        <v>15011590</v>
      </c>
      <c r="G10" s="936">
        <f t="shared" si="0"/>
        <v>144188524</v>
      </c>
    </row>
    <row r="11" spans="1:8" s="910" customFormat="1" ht="17.25" customHeight="1">
      <c r="A11" s="1478"/>
      <c r="B11" s="1479"/>
      <c r="C11" s="1479"/>
      <c r="D11" s="1480"/>
      <c r="E11" s="911" t="s">
        <v>22</v>
      </c>
      <c r="F11" s="936">
        <f t="shared" si="0"/>
        <v>498690</v>
      </c>
      <c r="G11" s="936">
        <f t="shared" si="0"/>
        <v>-14243794</v>
      </c>
    </row>
    <row r="12" spans="1:8" s="910" customFormat="1" ht="17.25" customHeight="1">
      <c r="A12" s="1481"/>
      <c r="B12" s="1482"/>
      <c r="C12" s="1482"/>
      <c r="D12" s="1483"/>
      <c r="E12" s="912" t="s">
        <v>23</v>
      </c>
      <c r="F12" s="936">
        <f t="shared" si="0"/>
        <v>15510280</v>
      </c>
      <c r="G12" s="936">
        <f t="shared" si="0"/>
        <v>129944730</v>
      </c>
    </row>
    <row r="13" spans="1:8" s="910" customFormat="1" ht="3.75" customHeight="1">
      <c r="A13" s="1498"/>
      <c r="B13" s="1499"/>
      <c r="C13" s="1499"/>
      <c r="D13" s="1499"/>
      <c r="E13" s="1499"/>
      <c r="F13" s="1499"/>
      <c r="G13" s="1500"/>
    </row>
    <row r="14" spans="1:8" s="812" customFormat="1" ht="15" hidden="1" customHeight="1">
      <c r="A14" s="1501" t="s">
        <v>56</v>
      </c>
      <c r="B14" s="1501" t="s">
        <v>58</v>
      </c>
      <c r="C14" s="1503" t="s">
        <v>1269</v>
      </c>
      <c r="D14" s="1506" t="s">
        <v>1119</v>
      </c>
      <c r="E14" s="937" t="s">
        <v>21</v>
      </c>
      <c r="F14" s="938">
        <v>220175</v>
      </c>
      <c r="G14" s="917">
        <v>220175</v>
      </c>
      <c r="H14" s="918"/>
    </row>
    <row r="15" spans="1:8" s="812" customFormat="1" ht="15" hidden="1" customHeight="1">
      <c r="A15" s="1502"/>
      <c r="B15" s="1502"/>
      <c r="C15" s="1504"/>
      <c r="D15" s="1496"/>
      <c r="E15" s="810" t="s">
        <v>22</v>
      </c>
      <c r="F15" s="938">
        <v>0</v>
      </c>
      <c r="G15" s="917">
        <v>0</v>
      </c>
      <c r="H15" s="918"/>
    </row>
    <row r="16" spans="1:8" s="812" customFormat="1" ht="15" hidden="1" customHeight="1">
      <c r="A16" s="1502"/>
      <c r="B16" s="1502"/>
      <c r="C16" s="1505"/>
      <c r="D16" s="1497"/>
      <c r="E16" s="810" t="s">
        <v>23</v>
      </c>
      <c r="F16" s="938">
        <f>F14+F15</f>
        <v>220175</v>
      </c>
      <c r="G16" s="938">
        <f>G14+G15</f>
        <v>220175</v>
      </c>
      <c r="H16" s="918"/>
    </row>
    <row r="17" spans="1:8" s="812" customFormat="1" ht="15" hidden="1" customHeight="1">
      <c r="A17" s="1507"/>
      <c r="B17" s="1507"/>
      <c r="C17" s="1503" t="s">
        <v>1270</v>
      </c>
      <c r="D17" s="1506" t="s">
        <v>1119</v>
      </c>
      <c r="E17" s="922" t="s">
        <v>21</v>
      </c>
      <c r="F17" s="938">
        <v>2502560</v>
      </c>
      <c r="G17" s="917">
        <v>2502560</v>
      </c>
      <c r="H17" s="918"/>
    </row>
    <row r="18" spans="1:8" s="812" customFormat="1" ht="15" hidden="1" customHeight="1">
      <c r="A18" s="1502"/>
      <c r="B18" s="1502"/>
      <c r="C18" s="1504"/>
      <c r="D18" s="1496"/>
      <c r="E18" s="810" t="s">
        <v>22</v>
      </c>
      <c r="F18" s="938">
        <v>0</v>
      </c>
      <c r="G18" s="917">
        <v>0</v>
      </c>
      <c r="H18" s="918"/>
    </row>
    <row r="19" spans="1:8" s="812" customFormat="1" ht="15" hidden="1" customHeight="1">
      <c r="A19" s="1508"/>
      <c r="B19" s="1508"/>
      <c r="C19" s="1505"/>
      <c r="D19" s="1497"/>
      <c r="E19" s="810" t="s">
        <v>23</v>
      </c>
      <c r="F19" s="938">
        <f>F17+F18</f>
        <v>2502560</v>
      </c>
      <c r="G19" s="938">
        <f>G17+G18</f>
        <v>2502560</v>
      </c>
      <c r="H19" s="918"/>
    </row>
    <row r="20" spans="1:8" s="943" customFormat="1" ht="20.100000000000001" hidden="1" customHeight="1">
      <c r="A20" s="1509">
        <v>600</v>
      </c>
      <c r="B20" s="1510">
        <v>60013</v>
      </c>
      <c r="C20" s="1511" t="s">
        <v>1271</v>
      </c>
      <c r="D20" s="1514" t="s">
        <v>1272</v>
      </c>
      <c r="E20" s="939" t="s">
        <v>21</v>
      </c>
      <c r="F20" s="940">
        <v>89790</v>
      </c>
      <c r="G20" s="941">
        <v>89790</v>
      </c>
      <c r="H20" s="942"/>
    </row>
    <row r="21" spans="1:8" s="943" customFormat="1" ht="20.100000000000001" hidden="1" customHeight="1">
      <c r="A21" s="1502"/>
      <c r="B21" s="1502"/>
      <c r="C21" s="1512"/>
      <c r="D21" s="1515"/>
      <c r="E21" s="939" t="s">
        <v>22</v>
      </c>
      <c r="F21" s="940">
        <v>0</v>
      </c>
      <c r="G21" s="941">
        <v>0</v>
      </c>
      <c r="H21" s="942"/>
    </row>
    <row r="22" spans="1:8" s="812" customFormat="1" ht="20.100000000000001" hidden="1" customHeight="1">
      <c r="A22" s="1502"/>
      <c r="B22" s="1502"/>
      <c r="C22" s="1513"/>
      <c r="D22" s="1516"/>
      <c r="E22" s="810" t="s">
        <v>23</v>
      </c>
      <c r="F22" s="938">
        <f>F20+F21</f>
        <v>89790</v>
      </c>
      <c r="G22" s="938">
        <f>G20+G21</f>
        <v>89790</v>
      </c>
      <c r="H22" s="918"/>
    </row>
    <row r="23" spans="1:8" s="943" customFormat="1" ht="29.25" customHeight="1">
      <c r="A23" s="1517">
        <v>600</v>
      </c>
      <c r="B23" s="1518">
        <v>60013</v>
      </c>
      <c r="C23" s="1511" t="s">
        <v>1271</v>
      </c>
      <c r="D23" s="1514" t="s">
        <v>248</v>
      </c>
      <c r="E23" s="939" t="s">
        <v>21</v>
      </c>
      <c r="F23" s="940">
        <v>358313</v>
      </c>
      <c r="G23" s="941">
        <v>641985</v>
      </c>
      <c r="H23" s="942"/>
    </row>
    <row r="24" spans="1:8" s="943" customFormat="1" ht="29.25" customHeight="1">
      <c r="A24" s="1502"/>
      <c r="B24" s="1502"/>
      <c r="C24" s="1512"/>
      <c r="D24" s="1515"/>
      <c r="E24" s="939" t="s">
        <v>22</v>
      </c>
      <c r="F24" s="940">
        <v>33600</v>
      </c>
      <c r="G24" s="941">
        <v>11203</v>
      </c>
      <c r="H24" s="942"/>
    </row>
    <row r="25" spans="1:8" s="812" customFormat="1" ht="29.25" customHeight="1">
      <c r="A25" s="1502"/>
      <c r="B25" s="1502"/>
      <c r="C25" s="1513"/>
      <c r="D25" s="1516"/>
      <c r="E25" s="810" t="s">
        <v>23</v>
      </c>
      <c r="F25" s="938">
        <f>F23+F24</f>
        <v>391913</v>
      </c>
      <c r="G25" s="938">
        <f>G23+G24</f>
        <v>653188</v>
      </c>
      <c r="H25" s="918"/>
    </row>
    <row r="26" spans="1:8" s="948" customFormat="1" ht="20.100000000000001" hidden="1" customHeight="1">
      <c r="A26" s="1519"/>
      <c r="B26" s="1519"/>
      <c r="C26" s="1521" t="s">
        <v>1273</v>
      </c>
      <c r="D26" s="1524" t="s">
        <v>1274</v>
      </c>
      <c r="E26" s="944" t="s">
        <v>21</v>
      </c>
      <c r="F26" s="945">
        <v>100000</v>
      </c>
      <c r="G26" s="946">
        <v>201330</v>
      </c>
      <c r="H26" s="947"/>
    </row>
    <row r="27" spans="1:8" s="948" customFormat="1" ht="20.100000000000001" hidden="1" customHeight="1">
      <c r="A27" s="1520"/>
      <c r="B27" s="1520"/>
      <c r="C27" s="1522"/>
      <c r="D27" s="1525"/>
      <c r="E27" s="949" t="s">
        <v>22</v>
      </c>
      <c r="F27" s="945">
        <v>0</v>
      </c>
      <c r="G27" s="946">
        <v>0</v>
      </c>
      <c r="H27" s="947"/>
    </row>
    <row r="28" spans="1:8" s="952" customFormat="1" ht="20.100000000000001" hidden="1" customHeight="1">
      <c r="A28" s="1520"/>
      <c r="B28" s="1520"/>
      <c r="C28" s="1523"/>
      <c r="D28" s="1526"/>
      <c r="E28" s="949" t="s">
        <v>23</v>
      </c>
      <c r="F28" s="950">
        <f>F26+F27</f>
        <v>100000</v>
      </c>
      <c r="G28" s="950">
        <f>G26+G27</f>
        <v>201330</v>
      </c>
      <c r="H28" s="951"/>
    </row>
    <row r="29" spans="1:8" s="952" customFormat="1" ht="15" hidden="1" customHeight="1">
      <c r="A29" s="1527"/>
      <c r="B29" s="1527"/>
      <c r="C29" s="1529" t="s">
        <v>1275</v>
      </c>
      <c r="D29" s="1530" t="s">
        <v>1276</v>
      </c>
      <c r="E29" s="953" t="s">
        <v>21</v>
      </c>
      <c r="F29" s="954">
        <v>177010</v>
      </c>
      <c r="G29" s="950">
        <v>177010</v>
      </c>
      <c r="H29" s="951"/>
    </row>
    <row r="30" spans="1:8" s="952" customFormat="1" ht="15" hidden="1" customHeight="1">
      <c r="A30" s="1528"/>
      <c r="B30" s="1528"/>
      <c r="C30" s="1522"/>
      <c r="D30" s="1525"/>
      <c r="E30" s="949" t="s">
        <v>22</v>
      </c>
      <c r="F30" s="954">
        <v>0</v>
      </c>
      <c r="G30" s="950">
        <v>0</v>
      </c>
      <c r="H30" s="951"/>
    </row>
    <row r="31" spans="1:8" s="952" customFormat="1" ht="15" hidden="1" customHeight="1">
      <c r="A31" s="1528"/>
      <c r="B31" s="1528"/>
      <c r="C31" s="1523"/>
      <c r="D31" s="1526"/>
      <c r="E31" s="949" t="s">
        <v>23</v>
      </c>
      <c r="F31" s="950">
        <f>F29+F30</f>
        <v>177010</v>
      </c>
      <c r="G31" s="950">
        <f>G29+G30</f>
        <v>177010</v>
      </c>
      <c r="H31" s="951"/>
    </row>
    <row r="32" spans="1:8" s="952" customFormat="1" ht="15.75" hidden="1" customHeight="1">
      <c r="A32" s="1527"/>
      <c r="B32" s="1527"/>
      <c r="C32" s="1531" t="s">
        <v>1277</v>
      </c>
      <c r="D32" s="1530" t="s">
        <v>1278</v>
      </c>
      <c r="E32" s="955" t="s">
        <v>21</v>
      </c>
      <c r="F32" s="956">
        <v>100000</v>
      </c>
      <c r="G32" s="957">
        <v>968126</v>
      </c>
      <c r="H32" s="951"/>
    </row>
    <row r="33" spans="1:10" s="952" customFormat="1" ht="15.75" hidden="1" customHeight="1">
      <c r="A33" s="1527"/>
      <c r="B33" s="1527"/>
      <c r="C33" s="1532"/>
      <c r="D33" s="1534"/>
      <c r="E33" s="955" t="s">
        <v>22</v>
      </c>
      <c r="F33" s="956">
        <v>0</v>
      </c>
      <c r="G33" s="957">
        <v>0</v>
      </c>
      <c r="H33" s="951"/>
      <c r="J33" s="958"/>
    </row>
    <row r="34" spans="1:10" s="952" customFormat="1" ht="15.75" hidden="1" customHeight="1">
      <c r="A34" s="1527"/>
      <c r="B34" s="1527"/>
      <c r="C34" s="1533"/>
      <c r="D34" s="1535"/>
      <c r="E34" s="955" t="s">
        <v>23</v>
      </c>
      <c r="F34" s="956">
        <f>F32+F33</f>
        <v>100000</v>
      </c>
      <c r="G34" s="957">
        <f>G32+G33</f>
        <v>968126</v>
      </c>
      <c r="H34" s="951"/>
    </row>
    <row r="35" spans="1:10" s="943" customFormat="1" ht="18" hidden="1" customHeight="1">
      <c r="A35" s="1536"/>
      <c r="B35" s="1536"/>
      <c r="C35" s="1512" t="s">
        <v>1279</v>
      </c>
      <c r="D35" s="1514" t="s">
        <v>1280</v>
      </c>
      <c r="E35" s="939" t="s">
        <v>21</v>
      </c>
      <c r="F35" s="940">
        <v>255434</v>
      </c>
      <c r="G35" s="941">
        <v>1074734</v>
      </c>
      <c r="H35" s="942"/>
    </row>
    <row r="36" spans="1:10" s="943" customFormat="1" ht="18" hidden="1" customHeight="1">
      <c r="A36" s="1502"/>
      <c r="B36" s="1502"/>
      <c r="C36" s="1512"/>
      <c r="D36" s="1496"/>
      <c r="E36" s="810" t="s">
        <v>22</v>
      </c>
      <c r="F36" s="940">
        <v>0</v>
      </c>
      <c r="G36" s="941">
        <v>0</v>
      </c>
      <c r="H36" s="942"/>
    </row>
    <row r="37" spans="1:10" s="812" customFormat="1" ht="18" hidden="1" customHeight="1">
      <c r="A37" s="1502"/>
      <c r="B37" s="1502"/>
      <c r="C37" s="1513"/>
      <c r="D37" s="1497"/>
      <c r="E37" s="810" t="s">
        <v>23</v>
      </c>
      <c r="F37" s="938">
        <f>F35+F36</f>
        <v>255434</v>
      </c>
      <c r="G37" s="938">
        <f>G35+G36</f>
        <v>1074734</v>
      </c>
      <c r="H37" s="918"/>
    </row>
    <row r="38" spans="1:10" s="943" customFormat="1" ht="24.95" hidden="1" customHeight="1">
      <c r="A38" s="1536"/>
      <c r="B38" s="1536"/>
      <c r="C38" s="1511" t="s">
        <v>1281</v>
      </c>
      <c r="D38" s="1514" t="s">
        <v>1282</v>
      </c>
      <c r="E38" s="939" t="s">
        <v>21</v>
      </c>
      <c r="F38" s="940">
        <v>341106</v>
      </c>
      <c r="G38" s="941">
        <v>1202322</v>
      </c>
      <c r="H38" s="942"/>
    </row>
    <row r="39" spans="1:10" s="943" customFormat="1" ht="24.95" hidden="1" customHeight="1">
      <c r="A39" s="1502"/>
      <c r="B39" s="1502"/>
      <c r="C39" s="1512"/>
      <c r="D39" s="1515"/>
      <c r="E39" s="939" t="s">
        <v>22</v>
      </c>
      <c r="F39" s="940">
        <v>0</v>
      </c>
      <c r="G39" s="941">
        <v>0</v>
      </c>
      <c r="H39" s="942"/>
    </row>
    <row r="40" spans="1:10" s="812" customFormat="1" ht="24.95" hidden="1" customHeight="1">
      <c r="A40" s="1502"/>
      <c r="B40" s="1502"/>
      <c r="C40" s="1513"/>
      <c r="D40" s="1516"/>
      <c r="E40" s="810" t="s">
        <v>23</v>
      </c>
      <c r="F40" s="938">
        <f>F38+F39</f>
        <v>341106</v>
      </c>
      <c r="G40" s="938">
        <f>G38+G39</f>
        <v>1202322</v>
      </c>
      <c r="H40" s="918"/>
    </row>
    <row r="41" spans="1:10" s="943" customFormat="1" ht="27" hidden="1" customHeight="1">
      <c r="A41" s="1536"/>
      <c r="B41" s="1536"/>
      <c r="C41" s="1511" t="s">
        <v>1281</v>
      </c>
      <c r="D41" s="1514" t="s">
        <v>1283</v>
      </c>
      <c r="E41" s="939" t="s">
        <v>21</v>
      </c>
      <c r="F41" s="940">
        <v>430243</v>
      </c>
      <c r="G41" s="941">
        <v>1751271</v>
      </c>
      <c r="H41" s="942"/>
    </row>
    <row r="42" spans="1:10" s="943" customFormat="1" ht="27" hidden="1" customHeight="1">
      <c r="A42" s="1502"/>
      <c r="B42" s="1502"/>
      <c r="C42" s="1512"/>
      <c r="D42" s="1496"/>
      <c r="E42" s="810" t="s">
        <v>22</v>
      </c>
      <c r="F42" s="940">
        <v>0</v>
      </c>
      <c r="G42" s="941">
        <v>0</v>
      </c>
      <c r="H42" s="942"/>
    </row>
    <row r="43" spans="1:10" s="812" customFormat="1" ht="27" hidden="1" customHeight="1">
      <c r="A43" s="1502"/>
      <c r="B43" s="1502"/>
      <c r="C43" s="1513"/>
      <c r="D43" s="1497"/>
      <c r="E43" s="810" t="s">
        <v>23</v>
      </c>
      <c r="F43" s="938">
        <f>F41+F42</f>
        <v>430243</v>
      </c>
      <c r="G43" s="938">
        <f>G41+G42</f>
        <v>1751271</v>
      </c>
      <c r="H43" s="918"/>
    </row>
    <row r="44" spans="1:10" s="943" customFormat="1" ht="28.5" hidden="1" customHeight="1">
      <c r="A44" s="1536"/>
      <c r="B44" s="1536"/>
      <c r="C44" s="1511" t="s">
        <v>1281</v>
      </c>
      <c r="D44" s="1514" t="s">
        <v>1284</v>
      </c>
      <c r="E44" s="939" t="s">
        <v>21</v>
      </c>
      <c r="F44" s="940">
        <v>378152</v>
      </c>
      <c r="G44" s="941">
        <v>1005950</v>
      </c>
      <c r="H44" s="942"/>
    </row>
    <row r="45" spans="1:10" s="943" customFormat="1" ht="28.5" hidden="1" customHeight="1">
      <c r="A45" s="1502"/>
      <c r="B45" s="1502"/>
      <c r="C45" s="1512"/>
      <c r="D45" s="1515"/>
      <c r="E45" s="939" t="s">
        <v>22</v>
      </c>
      <c r="F45" s="940">
        <v>0</v>
      </c>
      <c r="G45" s="941">
        <v>0</v>
      </c>
      <c r="H45" s="942"/>
    </row>
    <row r="46" spans="1:10" s="812" customFormat="1" ht="28.5" hidden="1" customHeight="1">
      <c r="A46" s="1502"/>
      <c r="B46" s="1502"/>
      <c r="C46" s="1513"/>
      <c r="D46" s="1516"/>
      <c r="E46" s="810" t="s">
        <v>23</v>
      </c>
      <c r="F46" s="938">
        <f>F44+F45</f>
        <v>378152</v>
      </c>
      <c r="G46" s="938">
        <f>G44+G45</f>
        <v>1005950</v>
      </c>
      <c r="H46" s="918"/>
    </row>
    <row r="47" spans="1:10" s="943" customFormat="1" ht="23.1" hidden="1" customHeight="1">
      <c r="A47" s="1536"/>
      <c r="B47" s="1536"/>
      <c r="C47" s="1511" t="s">
        <v>1281</v>
      </c>
      <c r="D47" s="1514" t="s">
        <v>1285</v>
      </c>
      <c r="E47" s="939" t="s">
        <v>21</v>
      </c>
      <c r="F47" s="940">
        <v>0</v>
      </c>
      <c r="G47" s="941">
        <v>0</v>
      </c>
      <c r="H47" s="942"/>
    </row>
    <row r="48" spans="1:10" s="943" customFormat="1" ht="23.1" hidden="1" customHeight="1">
      <c r="A48" s="1502"/>
      <c r="B48" s="1502"/>
      <c r="C48" s="1512"/>
      <c r="D48" s="1515"/>
      <c r="E48" s="939" t="s">
        <v>22</v>
      </c>
      <c r="F48" s="940">
        <v>0</v>
      </c>
      <c r="G48" s="941">
        <v>0</v>
      </c>
      <c r="H48" s="942"/>
    </row>
    <row r="49" spans="1:8" s="812" customFormat="1" ht="23.1" hidden="1" customHeight="1">
      <c r="A49" s="1502"/>
      <c r="B49" s="1502"/>
      <c r="C49" s="1513"/>
      <c r="D49" s="1516"/>
      <c r="E49" s="810" t="s">
        <v>23</v>
      </c>
      <c r="F49" s="938">
        <f>F47+F48</f>
        <v>0</v>
      </c>
      <c r="G49" s="938">
        <f>G47+G48</f>
        <v>0</v>
      </c>
      <c r="H49" s="918"/>
    </row>
    <row r="50" spans="1:8" s="943" customFormat="1" ht="27" hidden="1" customHeight="1">
      <c r="A50" s="1536"/>
      <c r="B50" s="1536"/>
      <c r="C50" s="1511" t="s">
        <v>1281</v>
      </c>
      <c r="D50" s="1514" t="s">
        <v>1286</v>
      </c>
      <c r="E50" s="939" t="s">
        <v>21</v>
      </c>
      <c r="F50" s="940">
        <v>0</v>
      </c>
      <c r="G50" s="941">
        <v>0</v>
      </c>
      <c r="H50" s="942"/>
    </row>
    <row r="51" spans="1:8" s="943" customFormat="1" ht="27" hidden="1" customHeight="1">
      <c r="A51" s="1502"/>
      <c r="B51" s="1502"/>
      <c r="C51" s="1512"/>
      <c r="D51" s="1496"/>
      <c r="E51" s="810" t="s">
        <v>22</v>
      </c>
      <c r="F51" s="940">
        <v>0</v>
      </c>
      <c r="G51" s="941">
        <v>0</v>
      </c>
      <c r="H51" s="942"/>
    </row>
    <row r="52" spans="1:8" s="812" customFormat="1" ht="27" hidden="1" customHeight="1">
      <c r="A52" s="1502"/>
      <c r="B52" s="1502"/>
      <c r="C52" s="1513"/>
      <c r="D52" s="1497"/>
      <c r="E52" s="810" t="s">
        <v>23</v>
      </c>
      <c r="F52" s="938">
        <f>F50+F51</f>
        <v>0</v>
      </c>
      <c r="G52" s="938">
        <f>G50+G51</f>
        <v>0</v>
      </c>
      <c r="H52" s="918"/>
    </row>
    <row r="53" spans="1:8" s="943" customFormat="1" ht="23.1" customHeight="1">
      <c r="A53" s="1536"/>
      <c r="B53" s="1536"/>
      <c r="C53" s="1511" t="s">
        <v>1279</v>
      </c>
      <c r="D53" s="1514" t="s">
        <v>1287</v>
      </c>
      <c r="E53" s="939" t="s">
        <v>21</v>
      </c>
      <c r="F53" s="940">
        <v>1230720</v>
      </c>
      <c r="G53" s="941">
        <v>28682941</v>
      </c>
      <c r="H53" s="942"/>
    </row>
    <row r="54" spans="1:8" s="943" customFormat="1" ht="23.1" customHeight="1">
      <c r="A54" s="1502"/>
      <c r="B54" s="1502"/>
      <c r="C54" s="1512"/>
      <c r="D54" s="1515"/>
      <c r="E54" s="939" t="s">
        <v>22</v>
      </c>
      <c r="F54" s="940">
        <v>0</v>
      </c>
      <c r="G54" s="941">
        <v>-13948248</v>
      </c>
      <c r="H54" s="942"/>
    </row>
    <row r="55" spans="1:8" s="812" customFormat="1" ht="23.1" customHeight="1">
      <c r="A55" s="1502"/>
      <c r="B55" s="1502"/>
      <c r="C55" s="1513"/>
      <c r="D55" s="1516"/>
      <c r="E55" s="810" t="s">
        <v>23</v>
      </c>
      <c r="F55" s="938">
        <f>F53+F54</f>
        <v>1230720</v>
      </c>
      <c r="G55" s="938">
        <f>G53+G54</f>
        <v>14734693</v>
      </c>
      <c r="H55" s="918"/>
    </row>
    <row r="56" spans="1:8" s="943" customFormat="1" ht="14.1" customHeight="1">
      <c r="A56" s="1536"/>
      <c r="B56" s="1536"/>
      <c r="C56" s="1511" t="s">
        <v>1281</v>
      </c>
      <c r="D56" s="1514" t="s">
        <v>1288</v>
      </c>
      <c r="E56" s="939" t="s">
        <v>21</v>
      </c>
      <c r="F56" s="940">
        <v>296937</v>
      </c>
      <c r="G56" s="941">
        <v>4002110</v>
      </c>
      <c r="H56" s="942"/>
    </row>
    <row r="57" spans="1:8" s="943" customFormat="1" ht="14.1" customHeight="1">
      <c r="A57" s="1502"/>
      <c r="B57" s="1502"/>
      <c r="C57" s="1512"/>
      <c r="D57" s="1515"/>
      <c r="E57" s="939" t="s">
        <v>22</v>
      </c>
      <c r="F57" s="940">
        <v>0</v>
      </c>
      <c r="G57" s="941">
        <v>-816000</v>
      </c>
      <c r="H57" s="942"/>
    </row>
    <row r="58" spans="1:8" s="812" customFormat="1" ht="14.1" customHeight="1">
      <c r="A58" s="1502"/>
      <c r="B58" s="1502"/>
      <c r="C58" s="1513"/>
      <c r="D58" s="1516"/>
      <c r="E58" s="810" t="s">
        <v>23</v>
      </c>
      <c r="F58" s="938">
        <f>F56+F57</f>
        <v>296937</v>
      </c>
      <c r="G58" s="938">
        <f>G56+G57</f>
        <v>3186110</v>
      </c>
      <c r="H58" s="918"/>
    </row>
    <row r="59" spans="1:8" s="943" customFormat="1" ht="18.75" hidden="1" customHeight="1">
      <c r="A59" s="1536"/>
      <c r="B59" s="1536"/>
      <c r="C59" s="1511" t="s">
        <v>1279</v>
      </c>
      <c r="D59" s="1514" t="s">
        <v>1289</v>
      </c>
      <c r="E59" s="939" t="s">
        <v>21</v>
      </c>
      <c r="F59" s="940">
        <v>0</v>
      </c>
      <c r="G59" s="941">
        <v>5877461</v>
      </c>
      <c r="H59" s="942"/>
    </row>
    <row r="60" spans="1:8" s="943" customFormat="1" ht="18.75" hidden="1" customHeight="1">
      <c r="A60" s="1502"/>
      <c r="B60" s="1502"/>
      <c r="C60" s="1512"/>
      <c r="D60" s="1515"/>
      <c r="E60" s="939" t="s">
        <v>22</v>
      </c>
      <c r="F60" s="940">
        <v>0</v>
      </c>
      <c r="G60" s="941">
        <v>0</v>
      </c>
      <c r="H60" s="942"/>
    </row>
    <row r="61" spans="1:8" s="812" customFormat="1" ht="18.75" hidden="1" customHeight="1">
      <c r="A61" s="1502"/>
      <c r="B61" s="1502"/>
      <c r="C61" s="1513"/>
      <c r="D61" s="1516"/>
      <c r="E61" s="810" t="s">
        <v>23</v>
      </c>
      <c r="F61" s="938">
        <f>F59+F60</f>
        <v>0</v>
      </c>
      <c r="G61" s="938">
        <f>G59+G60</f>
        <v>5877461</v>
      </c>
      <c r="H61" s="918"/>
    </row>
    <row r="62" spans="1:8" s="943" customFormat="1" ht="15" hidden="1" customHeight="1">
      <c r="A62" s="1536"/>
      <c r="B62" s="1536"/>
      <c r="C62" s="1511" t="s">
        <v>1279</v>
      </c>
      <c r="D62" s="1514" t="s">
        <v>1290</v>
      </c>
      <c r="E62" s="939" t="s">
        <v>21</v>
      </c>
      <c r="F62" s="940">
        <v>0</v>
      </c>
      <c r="G62" s="941">
        <v>15418201</v>
      </c>
      <c r="H62" s="942"/>
    </row>
    <row r="63" spans="1:8" s="943" customFormat="1" ht="15" hidden="1" customHeight="1">
      <c r="A63" s="1502"/>
      <c r="B63" s="1502"/>
      <c r="C63" s="1512"/>
      <c r="D63" s="1515"/>
      <c r="E63" s="939" t="s">
        <v>22</v>
      </c>
      <c r="F63" s="940">
        <v>0</v>
      </c>
      <c r="G63" s="941">
        <v>0</v>
      </c>
      <c r="H63" s="942"/>
    </row>
    <row r="64" spans="1:8" s="812" customFormat="1" ht="15" hidden="1" customHeight="1">
      <c r="A64" s="1502"/>
      <c r="B64" s="1502"/>
      <c r="C64" s="1513"/>
      <c r="D64" s="1516"/>
      <c r="E64" s="810" t="s">
        <v>23</v>
      </c>
      <c r="F64" s="938">
        <f>F62+F63</f>
        <v>0</v>
      </c>
      <c r="G64" s="938">
        <f>G62+G63</f>
        <v>15418201</v>
      </c>
      <c r="H64" s="918"/>
    </row>
    <row r="65" spans="1:8" s="962" customFormat="1" ht="14.25" customHeight="1">
      <c r="A65" s="1527"/>
      <c r="B65" s="1527"/>
      <c r="C65" s="1529" t="s">
        <v>1279</v>
      </c>
      <c r="D65" s="1530" t="s">
        <v>1291</v>
      </c>
      <c r="E65" s="953" t="s">
        <v>21</v>
      </c>
      <c r="F65" s="959">
        <v>1993982</v>
      </c>
      <c r="G65" s="960">
        <v>3436038</v>
      </c>
      <c r="H65" s="961"/>
    </row>
    <row r="66" spans="1:8" s="962" customFormat="1" ht="14.25" customHeight="1">
      <c r="A66" s="1528"/>
      <c r="B66" s="1528"/>
      <c r="C66" s="1522"/>
      <c r="D66" s="1525"/>
      <c r="E66" s="953" t="s">
        <v>22</v>
      </c>
      <c r="F66" s="959">
        <v>0</v>
      </c>
      <c r="G66" s="960">
        <v>-112735</v>
      </c>
      <c r="H66" s="961"/>
    </row>
    <row r="67" spans="1:8" s="962" customFormat="1" ht="14.25" customHeight="1">
      <c r="A67" s="1537"/>
      <c r="B67" s="1537"/>
      <c r="C67" s="1523"/>
      <c r="D67" s="1526"/>
      <c r="E67" s="953" t="s">
        <v>23</v>
      </c>
      <c r="F67" s="959">
        <f>F65+F66</f>
        <v>1993982</v>
      </c>
      <c r="G67" s="959">
        <f>G65+G66</f>
        <v>3323303</v>
      </c>
      <c r="H67" s="961"/>
    </row>
    <row r="68" spans="1:8" s="812" customFormat="1" ht="15" hidden="1" customHeight="1">
      <c r="A68" s="1501" t="s">
        <v>93</v>
      </c>
      <c r="B68" s="1501" t="s">
        <v>95</v>
      </c>
      <c r="C68" s="1503" t="s">
        <v>1279</v>
      </c>
      <c r="D68" s="1506" t="s">
        <v>1292</v>
      </c>
      <c r="E68" s="922" t="s">
        <v>21</v>
      </c>
      <c r="F68" s="938">
        <v>742407</v>
      </c>
      <c r="G68" s="917">
        <v>2449543</v>
      </c>
      <c r="H68" s="918"/>
    </row>
    <row r="69" spans="1:8" s="812" customFormat="1" ht="15" hidden="1" customHeight="1">
      <c r="A69" s="1502"/>
      <c r="B69" s="1502"/>
      <c r="C69" s="1504"/>
      <c r="D69" s="1496"/>
      <c r="E69" s="810" t="s">
        <v>22</v>
      </c>
      <c r="F69" s="938">
        <v>0</v>
      </c>
      <c r="G69" s="917">
        <v>0</v>
      </c>
      <c r="H69" s="918"/>
    </row>
    <row r="70" spans="1:8" s="812" customFormat="1" ht="15" hidden="1" customHeight="1">
      <c r="A70" s="1502"/>
      <c r="B70" s="1502"/>
      <c r="C70" s="1504"/>
      <c r="D70" s="1496"/>
      <c r="E70" s="963" t="s">
        <v>23</v>
      </c>
      <c r="F70" s="964">
        <f>F68+F69</f>
        <v>742407</v>
      </c>
      <c r="G70" s="964">
        <f>G68+G69</f>
        <v>2449543</v>
      </c>
      <c r="H70" s="918"/>
    </row>
    <row r="71" spans="1:8" s="812" customFormat="1" ht="15" hidden="1" customHeight="1">
      <c r="A71" s="1507"/>
      <c r="B71" s="1507"/>
      <c r="C71" s="1503" t="s">
        <v>1281</v>
      </c>
      <c r="D71" s="1506" t="s">
        <v>1293</v>
      </c>
      <c r="E71" s="922" t="s">
        <v>21</v>
      </c>
      <c r="F71" s="938">
        <v>57555</v>
      </c>
      <c r="G71" s="917">
        <v>41444499</v>
      </c>
      <c r="H71" s="918"/>
    </row>
    <row r="72" spans="1:8" s="812" customFormat="1" ht="15" hidden="1" customHeight="1">
      <c r="A72" s="1502"/>
      <c r="B72" s="1502"/>
      <c r="C72" s="1504"/>
      <c r="D72" s="1496"/>
      <c r="E72" s="810" t="s">
        <v>22</v>
      </c>
      <c r="F72" s="938">
        <v>0</v>
      </c>
      <c r="G72" s="917">
        <v>0</v>
      </c>
      <c r="H72" s="918"/>
    </row>
    <row r="73" spans="1:8" s="812" customFormat="1" ht="15" hidden="1" customHeight="1">
      <c r="A73" s="1508"/>
      <c r="B73" s="1508"/>
      <c r="C73" s="1505"/>
      <c r="D73" s="1497"/>
      <c r="E73" s="810" t="s">
        <v>23</v>
      </c>
      <c r="F73" s="938">
        <f>F71+F72</f>
        <v>57555</v>
      </c>
      <c r="G73" s="938">
        <f>G71+G72</f>
        <v>41444499</v>
      </c>
      <c r="H73" s="918"/>
    </row>
    <row r="74" spans="1:8" s="812" customFormat="1" ht="20.100000000000001" hidden="1" customHeight="1">
      <c r="A74" s="1501" t="s">
        <v>101</v>
      </c>
      <c r="B74" s="1501" t="s">
        <v>109</v>
      </c>
      <c r="C74" s="1503" t="s">
        <v>1279</v>
      </c>
      <c r="D74" s="1506" t="s">
        <v>1294</v>
      </c>
      <c r="E74" s="922" t="s">
        <v>21</v>
      </c>
      <c r="F74" s="938">
        <v>227351</v>
      </c>
      <c r="G74" s="917">
        <v>3347870</v>
      </c>
      <c r="H74" s="918"/>
    </row>
    <row r="75" spans="1:8" s="812" customFormat="1" ht="20.100000000000001" hidden="1" customHeight="1">
      <c r="A75" s="1502"/>
      <c r="B75" s="1502"/>
      <c r="C75" s="1504"/>
      <c r="D75" s="1496"/>
      <c r="E75" s="810" t="s">
        <v>22</v>
      </c>
      <c r="F75" s="938">
        <v>0</v>
      </c>
      <c r="G75" s="917">
        <v>0</v>
      </c>
      <c r="H75" s="918"/>
    </row>
    <row r="76" spans="1:8" s="812" customFormat="1" ht="20.100000000000001" hidden="1" customHeight="1">
      <c r="A76" s="1502"/>
      <c r="B76" s="1502"/>
      <c r="C76" s="1505"/>
      <c r="D76" s="1497"/>
      <c r="E76" s="810" t="s">
        <v>23</v>
      </c>
      <c r="F76" s="938">
        <f>F74+F75</f>
        <v>227351</v>
      </c>
      <c r="G76" s="938">
        <f>G74+G75</f>
        <v>3347870</v>
      </c>
      <c r="H76" s="918"/>
    </row>
    <row r="77" spans="1:8" s="812" customFormat="1" ht="15" hidden="1" customHeight="1">
      <c r="A77" s="1507"/>
      <c r="B77" s="1507"/>
      <c r="C77" s="1503" t="s">
        <v>1279</v>
      </c>
      <c r="D77" s="1506" t="s">
        <v>1295</v>
      </c>
      <c r="E77" s="922" t="s">
        <v>21</v>
      </c>
      <c r="F77" s="938">
        <v>217000</v>
      </c>
      <c r="G77" s="917">
        <v>1726955</v>
      </c>
      <c r="H77" s="918"/>
    </row>
    <row r="78" spans="1:8" s="812" customFormat="1" ht="15" hidden="1" customHeight="1">
      <c r="A78" s="1502"/>
      <c r="B78" s="1502"/>
      <c r="C78" s="1504"/>
      <c r="D78" s="1496"/>
      <c r="E78" s="810" t="s">
        <v>22</v>
      </c>
      <c r="F78" s="938">
        <v>0</v>
      </c>
      <c r="G78" s="917">
        <v>0</v>
      </c>
      <c r="H78" s="918"/>
    </row>
    <row r="79" spans="1:8" s="812" customFormat="1" ht="15" hidden="1" customHeight="1">
      <c r="A79" s="1508"/>
      <c r="B79" s="1508"/>
      <c r="C79" s="1505"/>
      <c r="D79" s="1497"/>
      <c r="E79" s="810" t="s">
        <v>23</v>
      </c>
      <c r="F79" s="938">
        <f>F77+F78</f>
        <v>217000</v>
      </c>
      <c r="G79" s="938">
        <f>G77+G78</f>
        <v>1726955</v>
      </c>
      <c r="H79" s="918"/>
    </row>
    <row r="80" spans="1:8" s="812" customFormat="1" ht="15" customHeight="1">
      <c r="A80" s="1501" t="s">
        <v>131</v>
      </c>
      <c r="B80" s="1501" t="s">
        <v>146</v>
      </c>
      <c r="C80" s="1503" t="s">
        <v>1281</v>
      </c>
      <c r="D80" s="1506" t="s">
        <v>1296</v>
      </c>
      <c r="E80" s="922" t="s">
        <v>21</v>
      </c>
      <c r="F80" s="938">
        <v>680000</v>
      </c>
      <c r="G80" s="917">
        <v>680000</v>
      </c>
      <c r="H80" s="918"/>
    </row>
    <row r="81" spans="1:8" s="812" customFormat="1" ht="15" customHeight="1">
      <c r="A81" s="1502"/>
      <c r="B81" s="1507"/>
      <c r="C81" s="1504"/>
      <c r="D81" s="1539"/>
      <c r="E81" s="922" t="s">
        <v>22</v>
      </c>
      <c r="F81" s="938">
        <v>469250</v>
      </c>
      <c r="G81" s="917">
        <v>469250</v>
      </c>
      <c r="H81" s="918"/>
    </row>
    <row r="82" spans="1:8" s="812" customFormat="1" ht="15" customHeight="1">
      <c r="A82" s="1508"/>
      <c r="B82" s="1538"/>
      <c r="C82" s="1505"/>
      <c r="D82" s="1540"/>
      <c r="E82" s="810" t="s">
        <v>23</v>
      </c>
      <c r="F82" s="938">
        <f>F80+F81</f>
        <v>1149250</v>
      </c>
      <c r="G82" s="938">
        <f>G80+G81</f>
        <v>1149250</v>
      </c>
      <c r="H82" s="918"/>
    </row>
    <row r="83" spans="1:8" s="812" customFormat="1" ht="23.1" hidden="1" customHeight="1">
      <c r="A83" s="1501" t="s">
        <v>158</v>
      </c>
      <c r="B83" s="1501" t="s">
        <v>261</v>
      </c>
      <c r="C83" s="1503" t="s">
        <v>1297</v>
      </c>
      <c r="D83" s="1506" t="s">
        <v>1298</v>
      </c>
      <c r="E83" s="922" t="s">
        <v>21</v>
      </c>
      <c r="F83" s="938">
        <v>200000</v>
      </c>
      <c r="G83" s="917">
        <v>200000</v>
      </c>
      <c r="H83" s="918"/>
    </row>
    <row r="84" spans="1:8" s="812" customFormat="1" ht="23.1" hidden="1" customHeight="1">
      <c r="A84" s="1502"/>
      <c r="B84" s="1507"/>
      <c r="C84" s="1504"/>
      <c r="D84" s="1539"/>
      <c r="E84" s="922" t="s">
        <v>22</v>
      </c>
      <c r="F84" s="938">
        <v>0</v>
      </c>
      <c r="G84" s="917">
        <v>0</v>
      </c>
      <c r="H84" s="918"/>
    </row>
    <row r="85" spans="1:8" s="812" customFormat="1" ht="23.1" hidden="1" customHeight="1">
      <c r="A85" s="1502"/>
      <c r="B85" s="1538"/>
      <c r="C85" s="1505"/>
      <c r="D85" s="1540"/>
      <c r="E85" s="810" t="s">
        <v>23</v>
      </c>
      <c r="F85" s="938">
        <f>F83+F84</f>
        <v>200000</v>
      </c>
      <c r="G85" s="938">
        <f>G83+G84</f>
        <v>200000</v>
      </c>
      <c r="H85" s="918"/>
    </row>
    <row r="86" spans="1:8" s="952" customFormat="1" ht="13.5" customHeight="1">
      <c r="A86" s="1527" t="s">
        <v>158</v>
      </c>
      <c r="B86" s="1542" t="s">
        <v>1150</v>
      </c>
      <c r="C86" s="1531" t="s">
        <v>1299</v>
      </c>
      <c r="D86" s="1530" t="s">
        <v>1300</v>
      </c>
      <c r="E86" s="955" t="s">
        <v>21</v>
      </c>
      <c r="F86" s="959">
        <v>40000</v>
      </c>
      <c r="G86" s="960">
        <v>40000</v>
      </c>
      <c r="H86" s="951"/>
    </row>
    <row r="87" spans="1:8" s="952" customFormat="1" ht="13.5" customHeight="1">
      <c r="A87" s="1527"/>
      <c r="B87" s="1527"/>
      <c r="C87" s="1532"/>
      <c r="D87" s="1534"/>
      <c r="E87" s="955" t="s">
        <v>22</v>
      </c>
      <c r="F87" s="959">
        <v>-4160</v>
      </c>
      <c r="G87" s="960">
        <v>-4160</v>
      </c>
      <c r="H87" s="951"/>
    </row>
    <row r="88" spans="1:8" s="952" customFormat="1" ht="13.5" customHeight="1">
      <c r="A88" s="1541"/>
      <c r="B88" s="1541"/>
      <c r="C88" s="1533"/>
      <c r="D88" s="1535"/>
      <c r="E88" s="955" t="s">
        <v>23</v>
      </c>
      <c r="F88" s="959">
        <f>F86+F87</f>
        <v>35840</v>
      </c>
      <c r="G88" s="959">
        <f>G86+G87</f>
        <v>35840</v>
      </c>
      <c r="H88" s="951"/>
    </row>
    <row r="89" spans="1:8" s="812" customFormat="1" ht="15" customHeight="1">
      <c r="A89" s="1501" t="s">
        <v>282</v>
      </c>
      <c r="B89" s="1501" t="s">
        <v>1156</v>
      </c>
      <c r="C89" s="1503" t="s">
        <v>1279</v>
      </c>
      <c r="D89" s="1506" t="s">
        <v>1301</v>
      </c>
      <c r="E89" s="922" t="s">
        <v>21</v>
      </c>
      <c r="F89" s="938">
        <v>78000</v>
      </c>
      <c r="G89" s="917">
        <v>400000</v>
      </c>
      <c r="H89" s="918"/>
    </row>
    <row r="90" spans="1:8" s="812" customFormat="1" ht="15" customHeight="1">
      <c r="A90" s="1502"/>
      <c r="B90" s="1507"/>
      <c r="C90" s="1504"/>
      <c r="D90" s="1539"/>
      <c r="E90" s="922" t="s">
        <v>22</v>
      </c>
      <c r="F90" s="938">
        <v>0</v>
      </c>
      <c r="G90" s="917">
        <v>-50000</v>
      </c>
      <c r="H90" s="918"/>
    </row>
    <row r="91" spans="1:8" s="812" customFormat="1" ht="15" customHeight="1">
      <c r="A91" s="1508"/>
      <c r="B91" s="1538"/>
      <c r="C91" s="1505"/>
      <c r="D91" s="1540"/>
      <c r="E91" s="810" t="s">
        <v>23</v>
      </c>
      <c r="F91" s="938">
        <f>F89+F90</f>
        <v>78000</v>
      </c>
      <c r="G91" s="938">
        <f>G89+G90</f>
        <v>350000</v>
      </c>
      <c r="H91" s="918"/>
    </row>
    <row r="92" spans="1:8" s="812" customFormat="1" ht="15" hidden="1" customHeight="1">
      <c r="A92" s="1501" t="s">
        <v>300</v>
      </c>
      <c r="B92" s="1543" t="s">
        <v>1302</v>
      </c>
      <c r="C92" s="1503" t="s">
        <v>1303</v>
      </c>
      <c r="D92" s="1506" t="s">
        <v>1304</v>
      </c>
      <c r="E92" s="922" t="s">
        <v>21</v>
      </c>
      <c r="F92" s="938">
        <v>0</v>
      </c>
      <c r="G92" s="917">
        <v>0</v>
      </c>
      <c r="H92" s="918"/>
    </row>
    <row r="93" spans="1:8" s="812" customFormat="1" ht="15" hidden="1" customHeight="1">
      <c r="A93" s="1502"/>
      <c r="B93" s="1544"/>
      <c r="C93" s="1504"/>
      <c r="D93" s="1496"/>
      <c r="E93" s="810" t="s">
        <v>22</v>
      </c>
      <c r="F93" s="938">
        <v>0</v>
      </c>
      <c r="G93" s="917">
        <v>0</v>
      </c>
      <c r="H93" s="918"/>
    </row>
    <row r="94" spans="1:8" s="812" customFormat="1" ht="15" hidden="1" customHeight="1">
      <c r="A94" s="1502"/>
      <c r="B94" s="1545"/>
      <c r="C94" s="1505"/>
      <c r="D94" s="1497"/>
      <c r="E94" s="810" t="s">
        <v>23</v>
      </c>
      <c r="F94" s="938">
        <f>F92+F93</f>
        <v>0</v>
      </c>
      <c r="G94" s="938">
        <f>G92+G93</f>
        <v>0</v>
      </c>
      <c r="H94" s="918"/>
    </row>
    <row r="95" spans="1:8" s="812" customFormat="1" ht="15" hidden="1" customHeight="1">
      <c r="A95" s="1507"/>
      <c r="B95" s="1543" t="s">
        <v>1302</v>
      </c>
      <c r="C95" s="1503" t="s">
        <v>1303</v>
      </c>
      <c r="D95" s="1506" t="s">
        <v>1305</v>
      </c>
      <c r="E95" s="922" t="s">
        <v>21</v>
      </c>
      <c r="F95" s="938">
        <v>200000</v>
      </c>
      <c r="G95" s="917">
        <v>650000</v>
      </c>
      <c r="H95" s="918"/>
    </row>
    <row r="96" spans="1:8" s="812" customFormat="1" ht="15" hidden="1" customHeight="1">
      <c r="A96" s="1502"/>
      <c r="B96" s="1544"/>
      <c r="C96" s="1504"/>
      <c r="D96" s="1496"/>
      <c r="E96" s="810" t="s">
        <v>22</v>
      </c>
      <c r="F96" s="938">
        <v>0</v>
      </c>
      <c r="G96" s="917">
        <v>0</v>
      </c>
      <c r="H96" s="918"/>
    </row>
    <row r="97" spans="1:8" s="812" customFormat="1" ht="15" hidden="1" customHeight="1">
      <c r="A97" s="1502"/>
      <c r="B97" s="1545"/>
      <c r="C97" s="1505"/>
      <c r="D97" s="1497"/>
      <c r="E97" s="810" t="s">
        <v>23</v>
      </c>
      <c r="F97" s="938">
        <f>F95+F96</f>
        <v>200000</v>
      </c>
      <c r="G97" s="938">
        <f>G95+G96</f>
        <v>650000</v>
      </c>
      <c r="H97" s="918"/>
    </row>
    <row r="98" spans="1:8" s="812" customFormat="1" ht="15" hidden="1" customHeight="1">
      <c r="A98" s="1507"/>
      <c r="B98" s="1543" t="s">
        <v>1306</v>
      </c>
      <c r="C98" s="1503" t="s">
        <v>1303</v>
      </c>
      <c r="D98" s="1506" t="s">
        <v>1307</v>
      </c>
      <c r="E98" s="922" t="s">
        <v>21</v>
      </c>
      <c r="F98" s="938">
        <v>10000</v>
      </c>
      <c r="G98" s="917">
        <v>61000</v>
      </c>
      <c r="H98" s="918"/>
    </row>
    <row r="99" spans="1:8" s="812" customFormat="1" ht="15" hidden="1" customHeight="1">
      <c r="A99" s="1502"/>
      <c r="B99" s="1544"/>
      <c r="C99" s="1504"/>
      <c r="D99" s="1496"/>
      <c r="E99" s="810" t="s">
        <v>22</v>
      </c>
      <c r="F99" s="938">
        <v>0</v>
      </c>
      <c r="G99" s="917">
        <v>0</v>
      </c>
      <c r="H99" s="918"/>
    </row>
    <row r="100" spans="1:8" s="812" customFormat="1" ht="15" hidden="1" customHeight="1">
      <c r="A100" s="1502"/>
      <c r="B100" s="1545"/>
      <c r="C100" s="1505"/>
      <c r="D100" s="1497"/>
      <c r="E100" s="810" t="s">
        <v>23</v>
      </c>
      <c r="F100" s="938">
        <f>F98+F99</f>
        <v>10000</v>
      </c>
      <c r="G100" s="938">
        <f>G98+G99</f>
        <v>61000</v>
      </c>
      <c r="H100" s="918"/>
    </row>
    <row r="101" spans="1:8" s="812" customFormat="1" ht="15" hidden="1" customHeight="1">
      <c r="A101" s="1507"/>
      <c r="B101" s="1543" t="s">
        <v>1308</v>
      </c>
      <c r="C101" s="1503" t="s">
        <v>1303</v>
      </c>
      <c r="D101" s="1506" t="s">
        <v>1309</v>
      </c>
      <c r="E101" s="922" t="s">
        <v>21</v>
      </c>
      <c r="F101" s="938">
        <v>20000</v>
      </c>
      <c r="G101" s="917">
        <v>65000</v>
      </c>
      <c r="H101" s="918"/>
    </row>
    <row r="102" spans="1:8" s="812" customFormat="1" ht="15" hidden="1" customHeight="1">
      <c r="A102" s="1502"/>
      <c r="B102" s="1544"/>
      <c r="C102" s="1504"/>
      <c r="D102" s="1496"/>
      <c r="E102" s="810" t="s">
        <v>22</v>
      </c>
      <c r="F102" s="938">
        <v>0</v>
      </c>
      <c r="G102" s="917">
        <v>0</v>
      </c>
      <c r="H102" s="918"/>
    </row>
    <row r="103" spans="1:8" s="812" customFormat="1" ht="15" hidden="1" customHeight="1">
      <c r="A103" s="1502"/>
      <c r="B103" s="1545"/>
      <c r="C103" s="1505"/>
      <c r="D103" s="1497"/>
      <c r="E103" s="810" t="s">
        <v>23</v>
      </c>
      <c r="F103" s="938">
        <f>F101+F102</f>
        <v>20000</v>
      </c>
      <c r="G103" s="938">
        <f>G101+G102</f>
        <v>65000</v>
      </c>
      <c r="H103" s="918"/>
    </row>
    <row r="104" spans="1:8" s="812" customFormat="1" ht="15" customHeight="1">
      <c r="A104" s="1507" t="s">
        <v>300</v>
      </c>
      <c r="B104" s="1501" t="s">
        <v>309</v>
      </c>
      <c r="C104" s="1546" t="s">
        <v>1310</v>
      </c>
      <c r="D104" s="1506" t="s">
        <v>1311</v>
      </c>
      <c r="E104" s="922" t="s">
        <v>21</v>
      </c>
      <c r="F104" s="938">
        <v>69864</v>
      </c>
      <c r="G104" s="917">
        <v>920714</v>
      </c>
      <c r="H104" s="918"/>
    </row>
    <row r="105" spans="1:8" s="812" customFormat="1" ht="15" customHeight="1">
      <c r="A105" s="1502"/>
      <c r="B105" s="1507"/>
      <c r="C105" s="1494"/>
      <c r="D105" s="1496"/>
      <c r="E105" s="810" t="s">
        <v>22</v>
      </c>
      <c r="F105" s="938">
        <v>0</v>
      </c>
      <c r="G105" s="917">
        <v>7500</v>
      </c>
      <c r="H105" s="918"/>
    </row>
    <row r="106" spans="1:8" s="812" customFormat="1" ht="15" customHeight="1">
      <c r="A106" s="1502"/>
      <c r="B106" s="1538"/>
      <c r="C106" s="1495"/>
      <c r="D106" s="1497"/>
      <c r="E106" s="810" t="s">
        <v>23</v>
      </c>
      <c r="F106" s="938">
        <f>F104+F105</f>
        <v>69864</v>
      </c>
      <c r="G106" s="938">
        <f>G104+G105</f>
        <v>928214</v>
      </c>
      <c r="H106" s="918"/>
    </row>
    <row r="107" spans="1:8" s="812" customFormat="1" ht="15" customHeight="1">
      <c r="A107" s="1507"/>
      <c r="B107" s="1501" t="s">
        <v>315</v>
      </c>
      <c r="C107" s="1503" t="s">
        <v>1303</v>
      </c>
      <c r="D107" s="1506" t="s">
        <v>1312</v>
      </c>
      <c r="E107" s="922" t="s">
        <v>21</v>
      </c>
      <c r="F107" s="938">
        <v>2200000</v>
      </c>
      <c r="G107" s="917">
        <v>11510000</v>
      </c>
      <c r="H107" s="918"/>
    </row>
    <row r="108" spans="1:8" s="812" customFormat="1" ht="15" customHeight="1">
      <c r="A108" s="1502"/>
      <c r="B108" s="1507"/>
      <c r="C108" s="1504"/>
      <c r="D108" s="1496"/>
      <c r="E108" s="810" t="s">
        <v>22</v>
      </c>
      <c r="F108" s="938">
        <v>0</v>
      </c>
      <c r="G108" s="917">
        <v>105848</v>
      </c>
      <c r="H108" s="918"/>
    </row>
    <row r="109" spans="1:8" s="812" customFormat="1" ht="15" customHeight="1">
      <c r="A109" s="1502"/>
      <c r="B109" s="1507"/>
      <c r="C109" s="1505"/>
      <c r="D109" s="1497"/>
      <c r="E109" s="810" t="s">
        <v>23</v>
      </c>
      <c r="F109" s="938">
        <f>F107+F108</f>
        <v>2200000</v>
      </c>
      <c r="G109" s="938">
        <f>G107+G108</f>
        <v>11615848</v>
      </c>
      <c r="H109" s="918"/>
    </row>
    <row r="110" spans="1:8" s="952" customFormat="1" ht="18.75" hidden="1" customHeight="1">
      <c r="A110" s="1527"/>
      <c r="B110" s="1547"/>
      <c r="C110" s="1529" t="s">
        <v>1303</v>
      </c>
      <c r="D110" s="1530" t="s">
        <v>1313</v>
      </c>
      <c r="E110" s="953" t="s">
        <v>21</v>
      </c>
      <c r="F110" s="959">
        <v>25039</v>
      </c>
      <c r="G110" s="960">
        <v>25039</v>
      </c>
      <c r="H110" s="951"/>
    </row>
    <row r="111" spans="1:8" s="952" customFormat="1" ht="18.75" hidden="1" customHeight="1">
      <c r="A111" s="1528"/>
      <c r="B111" s="1528"/>
      <c r="C111" s="1522"/>
      <c r="D111" s="1525"/>
      <c r="E111" s="953" t="s">
        <v>22</v>
      </c>
      <c r="F111" s="959">
        <v>0</v>
      </c>
      <c r="G111" s="960">
        <v>0</v>
      </c>
      <c r="H111" s="951"/>
    </row>
    <row r="112" spans="1:8" s="952" customFormat="1" ht="18.75" hidden="1" customHeight="1">
      <c r="A112" s="1528"/>
      <c r="B112" s="1528"/>
      <c r="C112" s="1523"/>
      <c r="D112" s="1526"/>
      <c r="E112" s="953" t="s">
        <v>23</v>
      </c>
      <c r="F112" s="959">
        <f>F110+F111</f>
        <v>25039</v>
      </c>
      <c r="G112" s="959">
        <f>G110+G111</f>
        <v>25039</v>
      </c>
      <c r="H112" s="951"/>
    </row>
    <row r="113" spans="1:14" s="952" customFormat="1" ht="18.75" hidden="1" customHeight="1">
      <c r="A113" s="1527"/>
      <c r="B113" s="1547"/>
      <c r="C113" s="1529" t="s">
        <v>1303</v>
      </c>
      <c r="D113" s="1530" t="s">
        <v>1314</v>
      </c>
      <c r="E113" s="953" t="s">
        <v>21</v>
      </c>
      <c r="F113" s="959">
        <v>26592</v>
      </c>
      <c r="G113" s="960">
        <v>26592</v>
      </c>
      <c r="H113" s="951"/>
    </row>
    <row r="114" spans="1:14" s="952" customFormat="1" ht="18.75" hidden="1" customHeight="1">
      <c r="A114" s="1528"/>
      <c r="B114" s="1528"/>
      <c r="C114" s="1522"/>
      <c r="D114" s="1525"/>
      <c r="E114" s="953" t="s">
        <v>22</v>
      </c>
      <c r="F114" s="959">
        <v>0</v>
      </c>
      <c r="G114" s="960">
        <v>0</v>
      </c>
      <c r="H114" s="951"/>
    </row>
    <row r="115" spans="1:14" s="952" customFormat="1" ht="18.75" hidden="1" customHeight="1">
      <c r="A115" s="1528"/>
      <c r="B115" s="1528"/>
      <c r="C115" s="1523"/>
      <c r="D115" s="1526"/>
      <c r="E115" s="953" t="s">
        <v>23</v>
      </c>
      <c r="F115" s="959">
        <f>F113+F114</f>
        <v>26592</v>
      </c>
      <c r="G115" s="959">
        <f>G113+G114</f>
        <v>26592</v>
      </c>
      <c r="H115" s="951"/>
    </row>
    <row r="116" spans="1:14" s="952" customFormat="1" ht="18.75" hidden="1" customHeight="1">
      <c r="A116" s="1527"/>
      <c r="B116" s="1547"/>
      <c r="C116" s="1529" t="s">
        <v>1303</v>
      </c>
      <c r="D116" s="1530" t="s">
        <v>1315</v>
      </c>
      <c r="E116" s="953" t="s">
        <v>21</v>
      </c>
      <c r="F116" s="959">
        <v>40000</v>
      </c>
      <c r="G116" s="960">
        <v>89270</v>
      </c>
      <c r="H116" s="951"/>
    </row>
    <row r="117" spans="1:14" s="952" customFormat="1" ht="18.75" hidden="1" customHeight="1">
      <c r="A117" s="1528"/>
      <c r="B117" s="1528"/>
      <c r="C117" s="1522"/>
      <c r="D117" s="1525"/>
      <c r="E117" s="953" t="s">
        <v>22</v>
      </c>
      <c r="F117" s="959">
        <v>0</v>
      </c>
      <c r="G117" s="960">
        <v>0</v>
      </c>
      <c r="H117" s="951"/>
    </row>
    <row r="118" spans="1:14" s="952" customFormat="1" ht="18.75" hidden="1" customHeight="1">
      <c r="A118" s="1528"/>
      <c r="B118" s="1528"/>
      <c r="C118" s="1523"/>
      <c r="D118" s="1526"/>
      <c r="E118" s="953" t="s">
        <v>23</v>
      </c>
      <c r="F118" s="959">
        <f>F116+F117</f>
        <v>40000</v>
      </c>
      <c r="G118" s="959">
        <f>G116+G117</f>
        <v>89270</v>
      </c>
      <c r="H118" s="951"/>
    </row>
    <row r="119" spans="1:14" s="812" customFormat="1" ht="15" customHeight="1">
      <c r="A119" s="1507"/>
      <c r="B119" s="1507"/>
      <c r="C119" s="1503" t="s">
        <v>1299</v>
      </c>
      <c r="D119" s="1506" t="s">
        <v>1316</v>
      </c>
      <c r="E119" s="922" t="s">
        <v>21</v>
      </c>
      <c r="F119" s="938">
        <v>1400000</v>
      </c>
      <c r="G119" s="917">
        <v>9917300</v>
      </c>
      <c r="H119" s="918"/>
    </row>
    <row r="120" spans="1:14" s="812" customFormat="1" ht="15" customHeight="1">
      <c r="A120" s="1502"/>
      <c r="B120" s="1507"/>
      <c r="C120" s="1504"/>
      <c r="D120" s="1496"/>
      <c r="E120" s="810" t="s">
        <v>22</v>
      </c>
      <c r="F120" s="938">
        <v>0</v>
      </c>
      <c r="G120" s="917">
        <v>93548</v>
      </c>
      <c r="H120" s="918"/>
    </row>
    <row r="121" spans="1:14" s="812" customFormat="1" ht="15" customHeight="1">
      <c r="A121" s="1508"/>
      <c r="B121" s="1538"/>
      <c r="C121" s="1505"/>
      <c r="D121" s="1497"/>
      <c r="E121" s="810" t="s">
        <v>23</v>
      </c>
      <c r="F121" s="938">
        <f>F119+F120</f>
        <v>1400000</v>
      </c>
      <c r="G121" s="938">
        <f>G119+G120</f>
        <v>10010848</v>
      </c>
      <c r="H121" s="918"/>
    </row>
    <row r="122" spans="1:14" s="812" customFormat="1" ht="20.100000000000001" hidden="1" customHeight="1">
      <c r="A122" s="1501" t="s">
        <v>335</v>
      </c>
      <c r="B122" s="1501" t="s">
        <v>336</v>
      </c>
      <c r="C122" s="1503" t="s">
        <v>1317</v>
      </c>
      <c r="D122" s="1506" t="s">
        <v>1318</v>
      </c>
      <c r="E122" s="922" t="s">
        <v>21</v>
      </c>
      <c r="F122" s="938">
        <v>303360</v>
      </c>
      <c r="G122" s="917">
        <v>3382738</v>
      </c>
      <c r="H122" s="918"/>
    </row>
    <row r="123" spans="1:14" s="812" customFormat="1" ht="20.100000000000001" hidden="1" customHeight="1">
      <c r="A123" s="1502"/>
      <c r="B123" s="1507"/>
      <c r="C123" s="1504"/>
      <c r="D123" s="1496"/>
      <c r="E123" s="810" t="s">
        <v>22</v>
      </c>
      <c r="F123" s="938">
        <v>0</v>
      </c>
      <c r="G123" s="917">
        <v>0</v>
      </c>
      <c r="H123" s="918"/>
    </row>
    <row r="124" spans="1:14" s="812" customFormat="1" ht="20.100000000000001" hidden="1" customHeight="1">
      <c r="A124" s="1508"/>
      <c r="B124" s="1538"/>
      <c r="C124" s="1505"/>
      <c r="D124" s="1497"/>
      <c r="E124" s="810" t="s">
        <v>23</v>
      </c>
      <c r="F124" s="938">
        <f>F122+F123</f>
        <v>303360</v>
      </c>
      <c r="G124" s="938">
        <f>G122+G123</f>
        <v>3382738</v>
      </c>
      <c r="H124" s="918"/>
    </row>
    <row r="125" spans="1:14" ht="15">
      <c r="A125" s="881" t="s">
        <v>1233</v>
      </c>
      <c r="B125" s="882"/>
      <c r="C125" s="883"/>
      <c r="D125" s="882"/>
      <c r="E125" s="882"/>
      <c r="F125" s="883"/>
      <c r="H125" s="886"/>
      <c r="I125" s="887"/>
      <c r="J125" s="887"/>
      <c r="K125" s="887"/>
      <c r="L125" s="887"/>
      <c r="M125" s="887"/>
      <c r="N125" s="887"/>
    </row>
    <row r="126" spans="1:14" s="721" customFormat="1" ht="15.75" customHeight="1">
      <c r="A126" s="888" t="s">
        <v>1319</v>
      </c>
      <c r="B126" s="889"/>
      <c r="C126" s="890"/>
      <c r="D126" s="889"/>
      <c r="E126" s="889"/>
      <c r="F126" s="890"/>
      <c r="G126" s="727"/>
      <c r="H126" s="731"/>
      <c r="I126" s="965"/>
      <c r="J126" s="965"/>
      <c r="K126" s="965"/>
      <c r="L126" s="965"/>
      <c r="M126" s="965"/>
      <c r="N126" s="965"/>
    </row>
    <row r="127" spans="1:14" ht="12.75" customHeight="1">
      <c r="A127" s="892" t="s">
        <v>1259</v>
      </c>
    </row>
    <row r="128" spans="1:14" s="932" customFormat="1" ht="12.75" customHeight="1">
      <c r="A128" s="892" t="s">
        <v>1260</v>
      </c>
      <c r="B128" s="891"/>
      <c r="C128" s="884"/>
      <c r="D128" s="884"/>
      <c r="E128" s="893"/>
      <c r="F128" s="887"/>
      <c r="G128" s="883"/>
      <c r="H128" s="883"/>
    </row>
    <row r="129" spans="1:8" ht="12.75" customHeight="1">
      <c r="A129" s="892" t="s">
        <v>1261</v>
      </c>
    </row>
    <row r="130" spans="1:8" ht="9" customHeight="1"/>
    <row r="131" spans="1:8" s="802" customFormat="1" ht="35.25" customHeight="1">
      <c r="A131" s="891"/>
      <c r="B131" s="891"/>
      <c r="C131" s="884"/>
      <c r="D131" s="884"/>
      <c r="E131" s="893"/>
      <c r="F131" s="887"/>
    </row>
    <row r="132" spans="1:8" s="925" customFormat="1" ht="22.5" customHeight="1">
      <c r="A132" s="891"/>
      <c r="B132" s="891"/>
      <c r="C132" s="884"/>
      <c r="D132" s="884"/>
      <c r="E132" s="893"/>
      <c r="F132" s="887"/>
      <c r="G132" s="890"/>
      <c r="H132" s="890"/>
    </row>
    <row r="133" spans="1:8" ht="41.25" customHeight="1"/>
    <row r="134" spans="1:8" s="802" customFormat="1" ht="21.75" customHeight="1">
      <c r="A134" s="891"/>
      <c r="B134" s="891"/>
      <c r="C134" s="884"/>
      <c r="D134" s="884"/>
      <c r="E134" s="893"/>
      <c r="F134" s="887"/>
    </row>
    <row r="135" spans="1:8" ht="21.75" customHeight="1">
      <c r="G135" s="894"/>
      <c r="H135" s="894"/>
    </row>
    <row r="136" spans="1:8" ht="24.75" customHeight="1">
      <c r="G136" s="894"/>
      <c r="H136" s="894"/>
    </row>
    <row r="137" spans="1:8" ht="12" customHeight="1">
      <c r="G137" s="894"/>
      <c r="H137" s="894"/>
    </row>
    <row r="138" spans="1:8" s="933" customFormat="1" ht="30.75" customHeight="1">
      <c r="A138" s="891"/>
      <c r="B138" s="891"/>
      <c r="C138" s="884"/>
      <c r="D138" s="884"/>
      <c r="E138" s="893"/>
      <c r="F138" s="887"/>
    </row>
    <row r="139" spans="1:8" s="802" customFormat="1" ht="21.75" customHeight="1">
      <c r="A139" s="891"/>
      <c r="B139" s="891"/>
      <c r="C139" s="884"/>
      <c r="D139" s="884"/>
      <c r="E139" s="893"/>
      <c r="F139" s="887"/>
    </row>
    <row r="140" spans="1:8" s="934" customFormat="1" ht="21.75" customHeight="1">
      <c r="A140" s="891"/>
      <c r="B140" s="891"/>
      <c r="C140" s="884"/>
      <c r="D140" s="884"/>
      <c r="E140" s="893"/>
      <c r="F140" s="887"/>
    </row>
    <row r="141" spans="1:8" s="934" customFormat="1" ht="21.75" customHeight="1">
      <c r="A141" s="891"/>
      <c r="B141" s="891"/>
      <c r="C141" s="884"/>
      <c r="D141" s="884"/>
      <c r="E141" s="893"/>
      <c r="F141" s="887"/>
    </row>
    <row r="143" spans="1:8" s="734" customFormat="1" ht="24" customHeight="1">
      <c r="A143" s="891"/>
      <c r="B143" s="891"/>
      <c r="C143" s="884"/>
      <c r="D143" s="884"/>
      <c r="E143" s="893"/>
      <c r="F143" s="887"/>
      <c r="G143" s="902"/>
      <c r="H143" s="902"/>
    </row>
    <row r="144" spans="1:8" s="734" customFormat="1" ht="24" customHeight="1">
      <c r="A144" s="891"/>
      <c r="B144" s="891"/>
      <c r="C144" s="884"/>
      <c r="D144" s="884"/>
      <c r="E144" s="893"/>
      <c r="F144" s="887"/>
      <c r="G144" s="902"/>
      <c r="H144" s="902"/>
    </row>
    <row r="145" spans="1:8" s="721" customFormat="1" ht="24" customHeight="1">
      <c r="A145" s="891"/>
      <c r="B145" s="891"/>
      <c r="C145" s="884"/>
      <c r="D145" s="884"/>
      <c r="E145" s="893"/>
      <c r="F145" s="887"/>
      <c r="G145" s="727"/>
      <c r="H145" s="727"/>
    </row>
    <row r="146" spans="1:8" s="721" customFormat="1" ht="24" customHeight="1">
      <c r="A146" s="891"/>
      <c r="B146" s="891"/>
      <c r="C146" s="884"/>
      <c r="D146" s="884"/>
      <c r="E146" s="893"/>
      <c r="F146" s="887"/>
      <c r="G146" s="727"/>
      <c r="H146" s="727"/>
    </row>
    <row r="147" spans="1:8" s="734" customFormat="1" ht="21" customHeight="1">
      <c r="A147" s="891"/>
      <c r="B147" s="891"/>
      <c r="C147" s="884"/>
      <c r="D147" s="884"/>
      <c r="E147" s="893"/>
      <c r="F147" s="887"/>
      <c r="G147" s="902"/>
      <c r="H147" s="902"/>
    </row>
    <row r="148" spans="1:8" ht="19.5" customHeight="1"/>
    <row r="149" spans="1:8" ht="21.75" customHeight="1"/>
  </sheetData>
  <sheetProtection password="C25B" sheet="1"/>
  <mergeCells count="160">
    <mergeCell ref="A119:A121"/>
    <mergeCell ref="B119:B121"/>
    <mergeCell ref="C119:C121"/>
    <mergeCell ref="D119:D121"/>
    <mergeCell ref="A122:A124"/>
    <mergeCell ref="B122:B124"/>
    <mergeCell ref="C122:C124"/>
    <mergeCell ref="D122:D124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07:A109"/>
    <mergeCell ref="B107:B109"/>
    <mergeCell ref="C107:C109"/>
    <mergeCell ref="D107:D109"/>
    <mergeCell ref="A110:A112"/>
    <mergeCell ref="B110:B112"/>
    <mergeCell ref="C110:C112"/>
    <mergeCell ref="D110:D112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95:A97"/>
    <mergeCell ref="B95:B97"/>
    <mergeCell ref="C95:C97"/>
    <mergeCell ref="D95:D97"/>
    <mergeCell ref="A98:A100"/>
    <mergeCell ref="B98:B100"/>
    <mergeCell ref="C98:C100"/>
    <mergeCell ref="D98:D100"/>
    <mergeCell ref="A89:A91"/>
    <mergeCell ref="B89:B91"/>
    <mergeCell ref="C89:C91"/>
    <mergeCell ref="D89:D91"/>
    <mergeCell ref="A92:A94"/>
    <mergeCell ref="B92:B94"/>
    <mergeCell ref="C92:C94"/>
    <mergeCell ref="D92:D94"/>
    <mergeCell ref="A83:A85"/>
    <mergeCell ref="B83:B85"/>
    <mergeCell ref="C83:C85"/>
    <mergeCell ref="D83:D85"/>
    <mergeCell ref="A86:A88"/>
    <mergeCell ref="B86:B88"/>
    <mergeCell ref="C86:C88"/>
    <mergeCell ref="D86:D88"/>
    <mergeCell ref="A77:A79"/>
    <mergeCell ref="B77:B79"/>
    <mergeCell ref="C77:C79"/>
    <mergeCell ref="D77:D79"/>
    <mergeCell ref="A80:A82"/>
    <mergeCell ref="B80:B82"/>
    <mergeCell ref="C80:C82"/>
    <mergeCell ref="D80:D82"/>
    <mergeCell ref="A71:A73"/>
    <mergeCell ref="B71:B73"/>
    <mergeCell ref="C71:C73"/>
    <mergeCell ref="D71:D73"/>
    <mergeCell ref="A74:A76"/>
    <mergeCell ref="B74:B76"/>
    <mergeCell ref="C74:C76"/>
    <mergeCell ref="D74:D76"/>
    <mergeCell ref="A65:A67"/>
    <mergeCell ref="B65:B67"/>
    <mergeCell ref="C65:C67"/>
    <mergeCell ref="D65:D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41:A43"/>
    <mergeCell ref="B41:B43"/>
    <mergeCell ref="C41:C43"/>
    <mergeCell ref="D41:D43"/>
    <mergeCell ref="A44:A46"/>
    <mergeCell ref="B44:B46"/>
    <mergeCell ref="C44:C46"/>
    <mergeCell ref="D44:D46"/>
    <mergeCell ref="A35:A37"/>
    <mergeCell ref="B35:B37"/>
    <mergeCell ref="C35:C37"/>
    <mergeCell ref="D35:D37"/>
    <mergeCell ref="A38:A40"/>
    <mergeCell ref="B38:B40"/>
    <mergeCell ref="C38:C40"/>
    <mergeCell ref="D38:D40"/>
    <mergeCell ref="A29:A31"/>
    <mergeCell ref="B29:B31"/>
    <mergeCell ref="C29:C31"/>
    <mergeCell ref="D29:D31"/>
    <mergeCell ref="A32:A34"/>
    <mergeCell ref="B32:B34"/>
    <mergeCell ref="C32:C34"/>
    <mergeCell ref="D32:D34"/>
    <mergeCell ref="A23:A25"/>
    <mergeCell ref="B23:B25"/>
    <mergeCell ref="C23:C25"/>
    <mergeCell ref="D23:D25"/>
    <mergeCell ref="A26:A28"/>
    <mergeCell ref="B26:B28"/>
    <mergeCell ref="C26:C28"/>
    <mergeCell ref="D26:D28"/>
    <mergeCell ref="A17:A19"/>
    <mergeCell ref="B17:B19"/>
    <mergeCell ref="C17:C19"/>
    <mergeCell ref="D17:D19"/>
    <mergeCell ref="A20:A22"/>
    <mergeCell ref="B20:B22"/>
    <mergeCell ref="C20:C22"/>
    <mergeCell ref="D20:D22"/>
    <mergeCell ref="A10:D12"/>
    <mergeCell ref="A13:G13"/>
    <mergeCell ref="A14:A16"/>
    <mergeCell ref="B14:B16"/>
    <mergeCell ref="C14:C16"/>
    <mergeCell ref="D14:D16"/>
    <mergeCell ref="E1:G1"/>
    <mergeCell ref="E2:G2"/>
    <mergeCell ref="D3:G3"/>
    <mergeCell ref="A4:G4"/>
    <mergeCell ref="A7:A8"/>
    <mergeCell ref="B7:B8"/>
    <mergeCell ref="C7:D7"/>
    <mergeCell ref="E7:E8"/>
    <mergeCell ref="F7:F8"/>
    <mergeCell ref="G7:G8"/>
  </mergeCells>
  <printOptions horizontalCentered="1"/>
  <pageMargins left="0.70866141732283472" right="0.70866141732283472" top="0.98425196850393704" bottom="0.74803149606299213" header="0" footer="0.19685039370078741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view="pageBreakPreview" topLeftCell="A9" zoomScaleNormal="100" zoomScaleSheetLayoutView="100" workbookViewId="0">
      <selection activeCell="G51" sqref="G51"/>
    </sheetView>
  </sheetViews>
  <sheetFormatPr defaultRowHeight="12.75"/>
  <cols>
    <col min="1" max="1" width="3.625" style="973" customWidth="1"/>
    <col min="2" max="2" width="44.75" style="974" customWidth="1"/>
    <col min="3" max="3" width="6.875" style="975" customWidth="1"/>
    <col min="4" max="4" width="2" style="975" customWidth="1"/>
    <col min="5" max="5" width="11.125" style="976" customWidth="1"/>
    <col min="6" max="6" width="10.5" style="976" customWidth="1"/>
    <col min="7" max="7" width="10.625" style="976" customWidth="1"/>
    <col min="8" max="8" width="13.125" style="976" customWidth="1"/>
    <col min="9" max="16384" width="9" style="977"/>
  </cols>
  <sheetData>
    <row r="1" spans="1:8" s="970" customFormat="1" ht="14.25">
      <c r="A1" s="966"/>
      <c r="B1" s="967"/>
      <c r="C1" s="968"/>
      <c r="D1" s="968"/>
      <c r="E1" s="969"/>
      <c r="F1" s="969" t="s">
        <v>1341</v>
      </c>
      <c r="G1" s="969"/>
    </row>
    <row r="2" spans="1:8" s="970" customFormat="1" ht="14.25">
      <c r="A2" s="966"/>
      <c r="B2" s="967"/>
      <c r="C2" s="968"/>
      <c r="D2" s="968"/>
      <c r="E2" s="971"/>
      <c r="F2" s="971" t="s">
        <v>1320</v>
      </c>
      <c r="G2" s="971"/>
    </row>
    <row r="3" spans="1:8" s="970" customFormat="1" ht="14.25">
      <c r="A3" s="966"/>
      <c r="B3" s="967"/>
      <c r="C3" s="968"/>
      <c r="D3" s="968"/>
      <c r="E3" s="972"/>
      <c r="F3" s="972" t="s">
        <v>632</v>
      </c>
      <c r="G3" s="972"/>
    </row>
    <row r="4" spans="1:8" s="970" customFormat="1" ht="18.75" customHeight="1">
      <c r="A4" s="966"/>
      <c r="B4" s="967"/>
      <c r="C4" s="972"/>
      <c r="D4" s="972"/>
      <c r="E4" s="972"/>
      <c r="F4" s="972"/>
      <c r="G4" s="972"/>
      <c r="H4" s="972"/>
    </row>
    <row r="5" spans="1:8" s="970" customFormat="1" ht="39" customHeight="1">
      <c r="A5" s="1548" t="s">
        <v>1321</v>
      </c>
      <c r="B5" s="1548"/>
      <c r="C5" s="1548"/>
      <c r="D5" s="1548"/>
      <c r="E5" s="1548"/>
      <c r="F5" s="1548"/>
      <c r="G5" s="1548"/>
      <c r="H5" s="1548"/>
    </row>
    <row r="6" spans="1:8" ht="17.25" customHeight="1"/>
    <row r="7" spans="1:8" ht="15.75" customHeight="1">
      <c r="H7" s="973" t="s">
        <v>2</v>
      </c>
    </row>
    <row r="8" spans="1:8" s="979" customFormat="1" ht="56.25" customHeight="1">
      <c r="A8" s="978" t="s">
        <v>638</v>
      </c>
      <c r="B8" s="978" t="s">
        <v>1322</v>
      </c>
      <c r="C8" s="978" t="s">
        <v>223</v>
      </c>
      <c r="D8" s="978" t="s">
        <v>5</v>
      </c>
      <c r="E8" s="978" t="s">
        <v>1323</v>
      </c>
      <c r="F8" s="978" t="s">
        <v>640</v>
      </c>
      <c r="G8" s="978" t="s">
        <v>660</v>
      </c>
      <c r="H8" s="978" t="s">
        <v>1324</v>
      </c>
    </row>
    <row r="9" spans="1:8" s="981" customFormat="1">
      <c r="A9" s="980" t="s">
        <v>591</v>
      </c>
      <c r="B9" s="980" t="s">
        <v>592</v>
      </c>
      <c r="C9" s="980" t="s">
        <v>593</v>
      </c>
      <c r="D9" s="980"/>
      <c r="E9" s="980" t="s">
        <v>594</v>
      </c>
      <c r="F9" s="980" t="s">
        <v>595</v>
      </c>
      <c r="G9" s="980" t="s">
        <v>596</v>
      </c>
      <c r="H9" s="980" t="s">
        <v>597</v>
      </c>
    </row>
    <row r="10" spans="1:8" s="985" customFormat="1" ht="15" hidden="1" customHeight="1">
      <c r="A10" s="1549" t="s">
        <v>591</v>
      </c>
      <c r="B10" s="1552" t="s">
        <v>1325</v>
      </c>
      <c r="C10" s="1555">
        <v>80147</v>
      </c>
      <c r="D10" s="982" t="s">
        <v>21</v>
      </c>
      <c r="E10" s="983">
        <v>0</v>
      </c>
      <c r="F10" s="984">
        <v>34970</v>
      </c>
      <c r="G10" s="984">
        <v>34970</v>
      </c>
      <c r="H10" s="983">
        <v>0</v>
      </c>
    </row>
    <row r="11" spans="1:8" s="985" customFormat="1" ht="15" hidden="1" customHeight="1">
      <c r="A11" s="1550"/>
      <c r="B11" s="1553"/>
      <c r="C11" s="1556"/>
      <c r="D11" s="982" t="s">
        <v>22</v>
      </c>
      <c r="E11" s="983">
        <v>0</v>
      </c>
      <c r="F11" s="983">
        <v>0</v>
      </c>
      <c r="G11" s="983">
        <v>0</v>
      </c>
      <c r="H11" s="983">
        <v>0</v>
      </c>
    </row>
    <row r="12" spans="1:8" s="985" customFormat="1" ht="15" hidden="1" customHeight="1">
      <c r="A12" s="1551"/>
      <c r="B12" s="1554"/>
      <c r="C12" s="1557"/>
      <c r="D12" s="982" t="s">
        <v>23</v>
      </c>
      <c r="E12" s="983">
        <f>E10+E11</f>
        <v>0</v>
      </c>
      <c r="F12" s="983">
        <f>F10+F11</f>
        <v>34970</v>
      </c>
      <c r="G12" s="983">
        <f>G10+G11</f>
        <v>34970</v>
      </c>
      <c r="H12" s="983">
        <f>H10+H11</f>
        <v>0</v>
      </c>
    </row>
    <row r="13" spans="1:8" s="985" customFormat="1" ht="15" hidden="1" customHeight="1">
      <c r="A13" s="1549" t="s">
        <v>592</v>
      </c>
      <c r="B13" s="1552" t="s">
        <v>260</v>
      </c>
      <c r="C13" s="1555">
        <v>80146</v>
      </c>
      <c r="D13" s="982" t="s">
        <v>21</v>
      </c>
      <c r="E13" s="983">
        <v>0</v>
      </c>
      <c r="F13" s="984">
        <v>400000</v>
      </c>
      <c r="G13" s="984">
        <v>400000</v>
      </c>
      <c r="H13" s="983">
        <v>0</v>
      </c>
    </row>
    <row r="14" spans="1:8" s="985" customFormat="1" ht="15" hidden="1" customHeight="1">
      <c r="A14" s="1550"/>
      <c r="B14" s="1553"/>
      <c r="C14" s="1556"/>
      <c r="D14" s="982" t="s">
        <v>22</v>
      </c>
      <c r="E14" s="983">
        <v>0</v>
      </c>
      <c r="F14" s="983">
        <v>0</v>
      </c>
      <c r="G14" s="983">
        <v>0</v>
      </c>
      <c r="H14" s="983">
        <v>0</v>
      </c>
    </row>
    <row r="15" spans="1:8" s="985" customFormat="1" ht="15" hidden="1" customHeight="1">
      <c r="A15" s="1551"/>
      <c r="B15" s="1554"/>
      <c r="C15" s="1557"/>
      <c r="D15" s="982" t="s">
        <v>23</v>
      </c>
      <c r="E15" s="983">
        <f>E13+E14</f>
        <v>0</v>
      </c>
      <c r="F15" s="983">
        <f>F13+F14</f>
        <v>400000</v>
      </c>
      <c r="G15" s="983">
        <f>G13+G14</f>
        <v>400000</v>
      </c>
      <c r="H15" s="983">
        <f>H13+H14</f>
        <v>0</v>
      </c>
    </row>
    <row r="16" spans="1:8" s="985" customFormat="1" ht="15" hidden="1" customHeight="1">
      <c r="A16" s="1549" t="s">
        <v>593</v>
      </c>
      <c r="B16" s="1552" t="s">
        <v>1326</v>
      </c>
      <c r="C16" s="1555">
        <v>80146</v>
      </c>
      <c r="D16" s="982" t="s">
        <v>21</v>
      </c>
      <c r="E16" s="983">
        <v>0</v>
      </c>
      <c r="F16" s="983">
        <v>320000</v>
      </c>
      <c r="G16" s="983">
        <v>320000</v>
      </c>
      <c r="H16" s="983">
        <v>0</v>
      </c>
    </row>
    <row r="17" spans="1:8" s="985" customFormat="1" ht="15" hidden="1" customHeight="1">
      <c r="A17" s="1550"/>
      <c r="B17" s="1553"/>
      <c r="C17" s="1556"/>
      <c r="D17" s="982" t="s">
        <v>22</v>
      </c>
      <c r="E17" s="983">
        <v>0</v>
      </c>
      <c r="F17" s="983"/>
      <c r="G17" s="983"/>
      <c r="H17" s="983">
        <v>0</v>
      </c>
    </row>
    <row r="18" spans="1:8" s="985" customFormat="1" ht="15" hidden="1" customHeight="1">
      <c r="A18" s="1551"/>
      <c r="B18" s="1554"/>
      <c r="C18" s="1557"/>
      <c r="D18" s="982" t="s">
        <v>23</v>
      </c>
      <c r="E18" s="983">
        <f>E16+E17</f>
        <v>0</v>
      </c>
      <c r="F18" s="983">
        <f>F16+F17</f>
        <v>320000</v>
      </c>
      <c r="G18" s="983">
        <f>G16+G17</f>
        <v>320000</v>
      </c>
      <c r="H18" s="983">
        <f>H16+H17</f>
        <v>0</v>
      </c>
    </row>
    <row r="19" spans="1:8" s="985" customFormat="1" ht="15" hidden="1" customHeight="1">
      <c r="A19" s="1549" t="s">
        <v>594</v>
      </c>
      <c r="B19" s="1552" t="s">
        <v>1327</v>
      </c>
      <c r="C19" s="1555" t="s">
        <v>239</v>
      </c>
      <c r="D19" s="982" t="s">
        <v>21</v>
      </c>
      <c r="E19" s="983">
        <v>0</v>
      </c>
      <c r="F19" s="983">
        <f t="shared" ref="F19:G21" si="0">F22+F25</f>
        <v>141500</v>
      </c>
      <c r="G19" s="983">
        <f t="shared" si="0"/>
        <v>141500</v>
      </c>
      <c r="H19" s="983">
        <v>0</v>
      </c>
    </row>
    <row r="20" spans="1:8" s="985" customFormat="1" ht="15" hidden="1" customHeight="1">
      <c r="A20" s="1550"/>
      <c r="B20" s="1553"/>
      <c r="C20" s="1556"/>
      <c r="D20" s="982" t="s">
        <v>22</v>
      </c>
      <c r="E20" s="983">
        <v>0</v>
      </c>
      <c r="F20" s="983">
        <f t="shared" si="0"/>
        <v>0</v>
      </c>
      <c r="G20" s="983">
        <f t="shared" si="0"/>
        <v>0</v>
      </c>
      <c r="H20" s="983">
        <v>0</v>
      </c>
    </row>
    <row r="21" spans="1:8" s="985" customFormat="1" ht="15" hidden="1" customHeight="1">
      <c r="A21" s="1550"/>
      <c r="B21" s="1553"/>
      <c r="C21" s="1557"/>
      <c r="D21" s="982" t="s">
        <v>23</v>
      </c>
      <c r="E21" s="983">
        <v>0</v>
      </c>
      <c r="F21" s="983">
        <f t="shared" si="0"/>
        <v>141500</v>
      </c>
      <c r="G21" s="983">
        <f t="shared" si="0"/>
        <v>141500</v>
      </c>
      <c r="H21" s="983">
        <v>0</v>
      </c>
    </row>
    <row r="22" spans="1:8" s="991" customFormat="1" ht="15" hidden="1" customHeight="1">
      <c r="A22" s="1558"/>
      <c r="B22" s="1559"/>
      <c r="C22" s="1560">
        <v>80146</v>
      </c>
      <c r="D22" s="989" t="s">
        <v>21</v>
      </c>
      <c r="E22" s="990">
        <v>0</v>
      </c>
      <c r="F22" s="990">
        <v>125800</v>
      </c>
      <c r="G22" s="990">
        <v>125800</v>
      </c>
      <c r="H22" s="990">
        <v>0</v>
      </c>
    </row>
    <row r="23" spans="1:8" s="991" customFormat="1" ht="15" hidden="1" customHeight="1">
      <c r="A23" s="1558"/>
      <c r="B23" s="1559"/>
      <c r="C23" s="1561"/>
      <c r="D23" s="989" t="s">
        <v>22</v>
      </c>
      <c r="E23" s="990">
        <v>0</v>
      </c>
      <c r="F23" s="990"/>
      <c r="G23" s="990"/>
      <c r="H23" s="990">
        <v>0</v>
      </c>
    </row>
    <row r="24" spans="1:8" s="991" customFormat="1" ht="15" hidden="1" customHeight="1">
      <c r="A24" s="1558"/>
      <c r="B24" s="1559"/>
      <c r="C24" s="1562"/>
      <c r="D24" s="989" t="s">
        <v>23</v>
      </c>
      <c r="E24" s="990">
        <v>0</v>
      </c>
      <c r="F24" s="990">
        <f>F22+F23</f>
        <v>125800</v>
      </c>
      <c r="G24" s="990">
        <f>G22+G23</f>
        <v>125800</v>
      </c>
      <c r="H24" s="990">
        <v>0</v>
      </c>
    </row>
    <row r="25" spans="1:8" s="991" customFormat="1" ht="15" hidden="1" customHeight="1">
      <c r="A25" s="1558"/>
      <c r="B25" s="1559"/>
      <c r="C25" s="1560">
        <v>80147</v>
      </c>
      <c r="D25" s="989" t="s">
        <v>21</v>
      </c>
      <c r="E25" s="990">
        <v>0</v>
      </c>
      <c r="F25" s="990">
        <v>15700</v>
      </c>
      <c r="G25" s="990">
        <v>15700</v>
      </c>
      <c r="H25" s="990">
        <v>0</v>
      </c>
    </row>
    <row r="26" spans="1:8" s="991" customFormat="1" ht="15" hidden="1" customHeight="1">
      <c r="A26" s="1558"/>
      <c r="B26" s="1559"/>
      <c r="C26" s="1561"/>
      <c r="D26" s="989" t="s">
        <v>22</v>
      </c>
      <c r="E26" s="990">
        <v>0</v>
      </c>
      <c r="F26" s="990"/>
      <c r="G26" s="990"/>
      <c r="H26" s="990">
        <v>0</v>
      </c>
    </row>
    <row r="27" spans="1:8" s="991" customFormat="1" ht="15" hidden="1" customHeight="1">
      <c r="A27" s="1563"/>
      <c r="B27" s="1564"/>
      <c r="C27" s="1562"/>
      <c r="D27" s="989" t="s">
        <v>23</v>
      </c>
      <c r="E27" s="990">
        <v>0</v>
      </c>
      <c r="F27" s="990">
        <f>F25+F26</f>
        <v>15700</v>
      </c>
      <c r="G27" s="990">
        <f>G25+G26</f>
        <v>15700</v>
      </c>
      <c r="H27" s="990">
        <v>0</v>
      </c>
    </row>
    <row r="28" spans="1:8" s="985" customFormat="1" ht="15" customHeight="1">
      <c r="A28" s="1549" t="s">
        <v>595</v>
      </c>
      <c r="B28" s="1552" t="s">
        <v>299</v>
      </c>
      <c r="C28" s="1555">
        <v>85410</v>
      </c>
      <c r="D28" s="982" t="s">
        <v>21</v>
      </c>
      <c r="E28" s="983">
        <v>0</v>
      </c>
      <c r="F28" s="983">
        <v>444150</v>
      </c>
      <c r="G28" s="983">
        <v>444150</v>
      </c>
      <c r="H28" s="983">
        <v>0</v>
      </c>
    </row>
    <row r="29" spans="1:8" s="985" customFormat="1" ht="15" customHeight="1">
      <c r="A29" s="1550"/>
      <c r="B29" s="1553"/>
      <c r="C29" s="1556"/>
      <c r="D29" s="982" t="s">
        <v>22</v>
      </c>
      <c r="E29" s="983">
        <v>0</v>
      </c>
      <c r="F29" s="983">
        <v>-253400</v>
      </c>
      <c r="G29" s="983">
        <v>-253400</v>
      </c>
      <c r="H29" s="983">
        <v>0</v>
      </c>
    </row>
    <row r="30" spans="1:8" s="985" customFormat="1" ht="15" customHeight="1">
      <c r="A30" s="1551"/>
      <c r="B30" s="1554"/>
      <c r="C30" s="1557"/>
      <c r="D30" s="982" t="s">
        <v>23</v>
      </c>
      <c r="E30" s="983">
        <f>E28+E29</f>
        <v>0</v>
      </c>
      <c r="F30" s="983">
        <f>F28+F29</f>
        <v>190750</v>
      </c>
      <c r="G30" s="983">
        <f>G28+G29</f>
        <v>190750</v>
      </c>
      <c r="H30" s="983">
        <f>H28+H29</f>
        <v>0</v>
      </c>
    </row>
    <row r="31" spans="1:8" s="985" customFormat="1" ht="15" hidden="1" customHeight="1">
      <c r="A31" s="1549" t="s">
        <v>596</v>
      </c>
      <c r="B31" s="1552" t="s">
        <v>296</v>
      </c>
      <c r="C31" s="1555"/>
      <c r="D31" s="982" t="s">
        <v>21</v>
      </c>
      <c r="E31" s="983">
        <f t="shared" ref="E31:H33" si="1">E34+E37</f>
        <v>0</v>
      </c>
      <c r="F31" s="983">
        <f t="shared" si="1"/>
        <v>252000</v>
      </c>
      <c r="G31" s="983">
        <f t="shared" si="1"/>
        <v>252000</v>
      </c>
      <c r="H31" s="983">
        <f t="shared" si="1"/>
        <v>0</v>
      </c>
    </row>
    <row r="32" spans="1:8" s="985" customFormat="1" ht="15" hidden="1" customHeight="1">
      <c r="A32" s="1550"/>
      <c r="B32" s="1553"/>
      <c r="C32" s="1556"/>
      <c r="D32" s="982" t="s">
        <v>22</v>
      </c>
      <c r="E32" s="983">
        <f t="shared" si="1"/>
        <v>0</v>
      </c>
      <c r="F32" s="983">
        <f t="shared" si="1"/>
        <v>0</v>
      </c>
      <c r="G32" s="983">
        <f t="shared" si="1"/>
        <v>0</v>
      </c>
      <c r="H32" s="983">
        <f t="shared" si="1"/>
        <v>0</v>
      </c>
    </row>
    <row r="33" spans="1:8" s="985" customFormat="1" ht="15" hidden="1" customHeight="1">
      <c r="A33" s="1550"/>
      <c r="B33" s="1553"/>
      <c r="C33" s="1557"/>
      <c r="D33" s="982" t="s">
        <v>23</v>
      </c>
      <c r="E33" s="983">
        <f t="shared" si="1"/>
        <v>0</v>
      </c>
      <c r="F33" s="983">
        <f t="shared" si="1"/>
        <v>252000</v>
      </c>
      <c r="G33" s="983">
        <f t="shared" si="1"/>
        <v>252000</v>
      </c>
      <c r="H33" s="983">
        <f t="shared" si="1"/>
        <v>0</v>
      </c>
    </row>
    <row r="34" spans="1:8" s="985" customFormat="1" ht="15" hidden="1" customHeight="1">
      <c r="A34" s="1550"/>
      <c r="B34" s="992"/>
      <c r="C34" s="1560">
        <v>80113</v>
      </c>
      <c r="D34" s="989" t="s">
        <v>21</v>
      </c>
      <c r="E34" s="990">
        <v>0</v>
      </c>
      <c r="F34" s="990">
        <v>0</v>
      </c>
      <c r="G34" s="990">
        <v>0</v>
      </c>
      <c r="H34" s="990">
        <v>0</v>
      </c>
    </row>
    <row r="35" spans="1:8" s="985" customFormat="1" ht="15" hidden="1" customHeight="1">
      <c r="A35" s="1550"/>
      <c r="B35" s="993"/>
      <c r="C35" s="1561"/>
      <c r="D35" s="989" t="s">
        <v>22</v>
      </c>
      <c r="E35" s="990">
        <v>0</v>
      </c>
      <c r="F35" s="990"/>
      <c r="G35" s="990"/>
      <c r="H35" s="990">
        <v>0</v>
      </c>
    </row>
    <row r="36" spans="1:8" s="985" customFormat="1" ht="15" hidden="1" customHeight="1">
      <c r="A36" s="1550"/>
      <c r="B36" s="993"/>
      <c r="C36" s="1562"/>
      <c r="D36" s="989" t="s">
        <v>23</v>
      </c>
      <c r="E36" s="990">
        <f>E34+E35</f>
        <v>0</v>
      </c>
      <c r="F36" s="990">
        <f>F34+F35</f>
        <v>0</v>
      </c>
      <c r="G36" s="990">
        <f>G34+G35</f>
        <v>0</v>
      </c>
      <c r="H36" s="990">
        <f>H34+H35</f>
        <v>0</v>
      </c>
    </row>
    <row r="37" spans="1:8" s="985" customFormat="1" ht="15" hidden="1" customHeight="1">
      <c r="A37" s="1550"/>
      <c r="B37" s="987"/>
      <c r="C37" s="1560">
        <v>85403</v>
      </c>
      <c r="D37" s="994" t="s">
        <v>21</v>
      </c>
      <c r="E37" s="990"/>
      <c r="F37" s="990">
        <v>252000</v>
      </c>
      <c r="G37" s="990">
        <v>252000</v>
      </c>
      <c r="H37" s="990">
        <v>0</v>
      </c>
    </row>
    <row r="38" spans="1:8" s="985" customFormat="1" ht="15" hidden="1" customHeight="1">
      <c r="A38" s="1550"/>
      <c r="B38" s="987"/>
      <c r="C38" s="1561"/>
      <c r="D38" s="994" t="s">
        <v>22</v>
      </c>
      <c r="E38" s="990">
        <v>0</v>
      </c>
      <c r="F38" s="990"/>
      <c r="G38" s="990"/>
      <c r="H38" s="990">
        <v>0</v>
      </c>
    </row>
    <row r="39" spans="1:8" s="985" customFormat="1" ht="15" hidden="1" customHeight="1">
      <c r="A39" s="1551"/>
      <c r="B39" s="987"/>
      <c r="C39" s="1562"/>
      <c r="D39" s="994" t="s">
        <v>23</v>
      </c>
      <c r="E39" s="990">
        <f>E37+E38</f>
        <v>0</v>
      </c>
      <c r="F39" s="990">
        <f>F37+F38</f>
        <v>252000</v>
      </c>
      <c r="G39" s="990">
        <f>G37+G38</f>
        <v>252000</v>
      </c>
      <c r="H39" s="990">
        <f>H37+H38</f>
        <v>0</v>
      </c>
    </row>
    <row r="40" spans="1:8" s="995" customFormat="1" ht="15" hidden="1" customHeight="1">
      <c r="A40" s="1549" t="s">
        <v>597</v>
      </c>
      <c r="B40" s="1552" t="s">
        <v>1328</v>
      </c>
      <c r="C40" s="1555">
        <v>85403</v>
      </c>
      <c r="D40" s="982" t="s">
        <v>21</v>
      </c>
      <c r="E40" s="983">
        <v>0</v>
      </c>
      <c r="F40" s="983">
        <v>350000</v>
      </c>
      <c r="G40" s="983">
        <v>350000</v>
      </c>
      <c r="H40" s="983">
        <v>0</v>
      </c>
    </row>
    <row r="41" spans="1:8" s="995" customFormat="1" ht="15" hidden="1" customHeight="1">
      <c r="A41" s="1550"/>
      <c r="B41" s="1553"/>
      <c r="C41" s="1556"/>
      <c r="D41" s="982" t="s">
        <v>22</v>
      </c>
      <c r="E41" s="983">
        <v>0</v>
      </c>
      <c r="F41" s="983"/>
      <c r="G41" s="983"/>
      <c r="H41" s="983">
        <v>0</v>
      </c>
    </row>
    <row r="42" spans="1:8" s="995" customFormat="1" ht="15" hidden="1" customHeight="1">
      <c r="A42" s="1551"/>
      <c r="B42" s="1554"/>
      <c r="C42" s="1557"/>
      <c r="D42" s="982" t="s">
        <v>23</v>
      </c>
      <c r="E42" s="983">
        <f>E40+E41</f>
        <v>0</v>
      </c>
      <c r="F42" s="983">
        <f>F40+F41</f>
        <v>350000</v>
      </c>
      <c r="G42" s="983">
        <f>G40+G41</f>
        <v>350000</v>
      </c>
      <c r="H42" s="983">
        <f>H40+H41</f>
        <v>0</v>
      </c>
    </row>
    <row r="43" spans="1:8" s="996" customFormat="1" ht="15" hidden="1" customHeight="1">
      <c r="A43" s="1549" t="s">
        <v>1329</v>
      </c>
      <c r="B43" s="1552" t="s">
        <v>1330</v>
      </c>
      <c r="C43" s="1555">
        <v>85403</v>
      </c>
      <c r="D43" s="982" t="s">
        <v>21</v>
      </c>
      <c r="E43" s="983">
        <v>0</v>
      </c>
      <c r="F43" s="983">
        <v>235000</v>
      </c>
      <c r="G43" s="983">
        <v>235000</v>
      </c>
      <c r="H43" s="983">
        <v>0</v>
      </c>
    </row>
    <row r="44" spans="1:8" s="996" customFormat="1" ht="15" hidden="1" customHeight="1">
      <c r="A44" s="1550"/>
      <c r="B44" s="1553"/>
      <c r="C44" s="1556"/>
      <c r="D44" s="982" t="s">
        <v>22</v>
      </c>
      <c r="E44" s="983">
        <v>0</v>
      </c>
      <c r="F44" s="983"/>
      <c r="G44" s="983"/>
      <c r="H44" s="983">
        <v>0</v>
      </c>
    </row>
    <row r="45" spans="1:8" s="996" customFormat="1" ht="15" hidden="1" customHeight="1">
      <c r="A45" s="1551"/>
      <c r="B45" s="1554"/>
      <c r="C45" s="1557"/>
      <c r="D45" s="982" t="s">
        <v>23</v>
      </c>
      <c r="E45" s="983">
        <f>E43+E44</f>
        <v>0</v>
      </c>
      <c r="F45" s="983">
        <f>F43+F44</f>
        <v>235000</v>
      </c>
      <c r="G45" s="983">
        <f>G43+G44</f>
        <v>235000</v>
      </c>
      <c r="H45" s="983">
        <f>H43+H44</f>
        <v>0</v>
      </c>
    </row>
    <row r="46" spans="1:8" s="985" customFormat="1" ht="15" customHeight="1">
      <c r="A46" s="1549" t="s">
        <v>1331</v>
      </c>
      <c r="B46" s="1552" t="s">
        <v>1332</v>
      </c>
      <c r="C46" s="1565"/>
      <c r="D46" s="997" t="s">
        <v>21</v>
      </c>
      <c r="E46" s="983">
        <f t="shared" ref="E46:H48" si="2">E49+E52</f>
        <v>0</v>
      </c>
      <c r="F46" s="983">
        <f t="shared" si="2"/>
        <v>26013</v>
      </c>
      <c r="G46" s="983">
        <f t="shared" si="2"/>
        <v>26013</v>
      </c>
      <c r="H46" s="983">
        <f t="shared" si="2"/>
        <v>0</v>
      </c>
    </row>
    <row r="47" spans="1:8" s="985" customFormat="1" ht="15" customHeight="1">
      <c r="A47" s="1550"/>
      <c r="B47" s="1553"/>
      <c r="C47" s="1566"/>
      <c r="D47" s="997" t="s">
        <v>22</v>
      </c>
      <c r="E47" s="983">
        <f t="shared" si="2"/>
        <v>0</v>
      </c>
      <c r="F47" s="983">
        <f t="shared" si="2"/>
        <v>-13180</v>
      </c>
      <c r="G47" s="983">
        <f t="shared" si="2"/>
        <v>-13180</v>
      </c>
      <c r="H47" s="983">
        <f t="shared" si="2"/>
        <v>0</v>
      </c>
    </row>
    <row r="48" spans="1:8" s="985" customFormat="1" ht="15" customHeight="1">
      <c r="A48" s="1550"/>
      <c r="B48" s="1553"/>
      <c r="C48" s="1567"/>
      <c r="D48" s="997" t="s">
        <v>23</v>
      </c>
      <c r="E48" s="983">
        <f t="shared" si="2"/>
        <v>0</v>
      </c>
      <c r="F48" s="983">
        <f t="shared" si="2"/>
        <v>12833</v>
      </c>
      <c r="G48" s="983">
        <f t="shared" si="2"/>
        <v>12833</v>
      </c>
      <c r="H48" s="983">
        <f t="shared" si="2"/>
        <v>0</v>
      </c>
    </row>
    <row r="49" spans="1:8" s="985" customFormat="1" ht="15" customHeight="1">
      <c r="A49" s="986"/>
      <c r="B49" s="992"/>
      <c r="C49" s="1560">
        <v>80116</v>
      </c>
      <c r="D49" s="989" t="s">
        <v>21</v>
      </c>
      <c r="E49" s="990">
        <v>0</v>
      </c>
      <c r="F49" s="990">
        <v>16013</v>
      </c>
      <c r="G49" s="990">
        <v>16013</v>
      </c>
      <c r="H49" s="990">
        <v>0</v>
      </c>
    </row>
    <row r="50" spans="1:8" s="985" customFormat="1" ht="15" customHeight="1">
      <c r="A50" s="986"/>
      <c r="B50" s="993"/>
      <c r="C50" s="1561"/>
      <c r="D50" s="989" t="s">
        <v>22</v>
      </c>
      <c r="E50" s="990">
        <v>0</v>
      </c>
      <c r="F50" s="990">
        <v>-7980</v>
      </c>
      <c r="G50" s="990">
        <v>-7980</v>
      </c>
      <c r="H50" s="990">
        <v>0</v>
      </c>
    </row>
    <row r="51" spans="1:8" s="985" customFormat="1" ht="15" customHeight="1">
      <c r="A51" s="986"/>
      <c r="B51" s="993"/>
      <c r="C51" s="1562"/>
      <c r="D51" s="989" t="s">
        <v>23</v>
      </c>
      <c r="E51" s="990">
        <f>E49+E50</f>
        <v>0</v>
      </c>
      <c r="F51" s="990">
        <f>F49+F50</f>
        <v>8033</v>
      </c>
      <c r="G51" s="990">
        <f>G49+G50</f>
        <v>8033</v>
      </c>
      <c r="H51" s="990">
        <f>H49+H50</f>
        <v>0</v>
      </c>
    </row>
    <row r="52" spans="1:8" s="985" customFormat="1" ht="15" customHeight="1">
      <c r="A52" s="986"/>
      <c r="B52" s="987"/>
      <c r="C52" s="1560">
        <v>80140</v>
      </c>
      <c r="D52" s="994" t="s">
        <v>21</v>
      </c>
      <c r="E52" s="990">
        <v>0</v>
      </c>
      <c r="F52" s="990">
        <v>10000</v>
      </c>
      <c r="G52" s="990">
        <v>10000</v>
      </c>
      <c r="H52" s="990">
        <v>0</v>
      </c>
    </row>
    <row r="53" spans="1:8" s="985" customFormat="1" ht="15" customHeight="1">
      <c r="A53" s="986"/>
      <c r="B53" s="987"/>
      <c r="C53" s="1561"/>
      <c r="D53" s="994" t="s">
        <v>22</v>
      </c>
      <c r="E53" s="990">
        <v>0</v>
      </c>
      <c r="F53" s="990">
        <v>-5200</v>
      </c>
      <c r="G53" s="990">
        <v>-5200</v>
      </c>
      <c r="H53" s="990">
        <v>0</v>
      </c>
    </row>
    <row r="54" spans="1:8" s="985" customFormat="1" ht="15" customHeight="1">
      <c r="A54" s="988"/>
      <c r="B54" s="987"/>
      <c r="C54" s="1562"/>
      <c r="D54" s="994" t="s">
        <v>23</v>
      </c>
      <c r="E54" s="990">
        <f>E52+E53</f>
        <v>0</v>
      </c>
      <c r="F54" s="990">
        <f>F52+F53</f>
        <v>4800</v>
      </c>
      <c r="G54" s="990">
        <f>G52+G53</f>
        <v>4800</v>
      </c>
      <c r="H54" s="990">
        <f>H52+H53</f>
        <v>0</v>
      </c>
    </row>
    <row r="55" spans="1:8" s="985" customFormat="1" ht="15" customHeight="1">
      <c r="A55" s="1549" t="s">
        <v>1333</v>
      </c>
      <c r="B55" s="1568" t="s">
        <v>1334</v>
      </c>
      <c r="C55" s="1555"/>
      <c r="D55" s="982" t="s">
        <v>21</v>
      </c>
      <c r="E55" s="983">
        <f t="shared" ref="E55:H57" si="3">E58+E61</f>
        <v>0</v>
      </c>
      <c r="F55" s="983">
        <f t="shared" si="3"/>
        <v>16250</v>
      </c>
      <c r="G55" s="983">
        <f t="shared" si="3"/>
        <v>16250</v>
      </c>
      <c r="H55" s="983">
        <f t="shared" si="3"/>
        <v>0</v>
      </c>
    </row>
    <row r="56" spans="1:8" s="985" customFormat="1" ht="15" customHeight="1">
      <c r="A56" s="1550"/>
      <c r="B56" s="1569"/>
      <c r="C56" s="1556"/>
      <c r="D56" s="982" t="s">
        <v>22</v>
      </c>
      <c r="E56" s="983">
        <f t="shared" si="3"/>
        <v>0</v>
      </c>
      <c r="F56" s="983">
        <f t="shared" si="3"/>
        <v>-4535</v>
      </c>
      <c r="G56" s="983">
        <f t="shared" si="3"/>
        <v>-4535</v>
      </c>
      <c r="H56" s="983">
        <f t="shared" si="3"/>
        <v>0</v>
      </c>
    </row>
    <row r="57" spans="1:8" s="985" customFormat="1" ht="15" customHeight="1">
      <c r="A57" s="1550"/>
      <c r="B57" s="1569"/>
      <c r="C57" s="1557"/>
      <c r="D57" s="982" t="s">
        <v>23</v>
      </c>
      <c r="E57" s="983">
        <f t="shared" si="3"/>
        <v>0</v>
      </c>
      <c r="F57" s="983">
        <f t="shared" si="3"/>
        <v>11715</v>
      </c>
      <c r="G57" s="983">
        <f t="shared" si="3"/>
        <v>11715</v>
      </c>
      <c r="H57" s="983">
        <f t="shared" si="3"/>
        <v>0</v>
      </c>
    </row>
    <row r="58" spans="1:8" s="985" customFormat="1" ht="15" customHeight="1">
      <c r="A58" s="986"/>
      <c r="B58" s="992"/>
      <c r="C58" s="1560">
        <v>80116</v>
      </c>
      <c r="D58" s="989" t="s">
        <v>21</v>
      </c>
      <c r="E58" s="990">
        <v>0</v>
      </c>
      <c r="F58" s="990">
        <v>3750</v>
      </c>
      <c r="G58" s="990">
        <v>3750</v>
      </c>
      <c r="H58" s="990">
        <v>0</v>
      </c>
    </row>
    <row r="59" spans="1:8" s="985" customFormat="1" ht="15" customHeight="1">
      <c r="A59" s="986"/>
      <c r="B59" s="993"/>
      <c r="C59" s="1561"/>
      <c r="D59" s="989" t="s">
        <v>22</v>
      </c>
      <c r="E59" s="990">
        <v>0</v>
      </c>
      <c r="F59" s="990">
        <v>615</v>
      </c>
      <c r="G59" s="990">
        <v>615</v>
      </c>
      <c r="H59" s="990">
        <v>0</v>
      </c>
    </row>
    <row r="60" spans="1:8" s="985" customFormat="1" ht="15" customHeight="1">
      <c r="A60" s="986"/>
      <c r="B60" s="993"/>
      <c r="C60" s="1562"/>
      <c r="D60" s="989" t="s">
        <v>23</v>
      </c>
      <c r="E60" s="990">
        <f>E58+E59</f>
        <v>0</v>
      </c>
      <c r="F60" s="990">
        <f>F58+F59</f>
        <v>4365</v>
      </c>
      <c r="G60" s="990">
        <f>G58+G59</f>
        <v>4365</v>
      </c>
      <c r="H60" s="990">
        <f>H58+H59</f>
        <v>0</v>
      </c>
    </row>
    <row r="61" spans="1:8" s="985" customFormat="1" ht="15" customHeight="1">
      <c r="A61" s="986"/>
      <c r="B61" s="987"/>
      <c r="C61" s="1560">
        <v>80140</v>
      </c>
      <c r="D61" s="994" t="s">
        <v>21</v>
      </c>
      <c r="E61" s="990"/>
      <c r="F61" s="990">
        <v>12500</v>
      </c>
      <c r="G61" s="990">
        <v>12500</v>
      </c>
      <c r="H61" s="990">
        <v>0</v>
      </c>
    </row>
    <row r="62" spans="1:8" s="985" customFormat="1" ht="15" customHeight="1">
      <c r="A62" s="986"/>
      <c r="B62" s="987"/>
      <c r="C62" s="1561"/>
      <c r="D62" s="994" t="s">
        <v>22</v>
      </c>
      <c r="E62" s="990">
        <v>0</v>
      </c>
      <c r="F62" s="990">
        <v>-5150</v>
      </c>
      <c r="G62" s="990">
        <v>-5150</v>
      </c>
      <c r="H62" s="990">
        <v>0</v>
      </c>
    </row>
    <row r="63" spans="1:8" s="985" customFormat="1" ht="15" customHeight="1">
      <c r="A63" s="988"/>
      <c r="B63" s="987"/>
      <c r="C63" s="1562"/>
      <c r="D63" s="994" t="s">
        <v>23</v>
      </c>
      <c r="E63" s="990">
        <f>E61+E62</f>
        <v>0</v>
      </c>
      <c r="F63" s="990">
        <f>F61+F62</f>
        <v>7350</v>
      </c>
      <c r="G63" s="990">
        <f>G61+G62</f>
        <v>7350</v>
      </c>
      <c r="H63" s="990">
        <f>H61+H62</f>
        <v>0</v>
      </c>
    </row>
    <row r="64" spans="1:8" s="985" customFormat="1" ht="15" hidden="1" customHeight="1">
      <c r="A64" s="1549" t="s">
        <v>1335</v>
      </c>
      <c r="B64" s="1552" t="s">
        <v>1336</v>
      </c>
      <c r="C64" s="1555">
        <v>80147</v>
      </c>
      <c r="D64" s="982" t="s">
        <v>21</v>
      </c>
      <c r="E64" s="983">
        <v>0</v>
      </c>
      <c r="F64" s="983">
        <v>23500</v>
      </c>
      <c r="G64" s="983">
        <v>23500</v>
      </c>
      <c r="H64" s="983">
        <v>0</v>
      </c>
    </row>
    <row r="65" spans="1:8" s="985" customFormat="1" ht="15" hidden="1" customHeight="1">
      <c r="A65" s="1550"/>
      <c r="B65" s="1553"/>
      <c r="C65" s="1556"/>
      <c r="D65" s="982" t="s">
        <v>22</v>
      </c>
      <c r="E65" s="983">
        <v>0</v>
      </c>
      <c r="F65" s="983"/>
      <c r="G65" s="983"/>
      <c r="H65" s="983">
        <v>0</v>
      </c>
    </row>
    <row r="66" spans="1:8" s="985" customFormat="1" ht="15" hidden="1" customHeight="1">
      <c r="A66" s="1551"/>
      <c r="B66" s="1554"/>
      <c r="C66" s="1557"/>
      <c r="D66" s="982" t="s">
        <v>23</v>
      </c>
      <c r="E66" s="983">
        <f>E64+E65</f>
        <v>0</v>
      </c>
      <c r="F66" s="983">
        <f>F64+F65</f>
        <v>23500</v>
      </c>
      <c r="G66" s="983">
        <f>G64+G65</f>
        <v>23500</v>
      </c>
      <c r="H66" s="983">
        <f>H64+H65</f>
        <v>0</v>
      </c>
    </row>
    <row r="67" spans="1:8" s="995" customFormat="1" ht="15" hidden="1" customHeight="1">
      <c r="A67" s="1549" t="s">
        <v>1337</v>
      </c>
      <c r="B67" s="1552" t="s">
        <v>1338</v>
      </c>
      <c r="C67" s="1555">
        <v>80102</v>
      </c>
      <c r="D67" s="982" t="s">
        <v>21</v>
      </c>
      <c r="E67" s="983">
        <v>0</v>
      </c>
      <c r="F67" s="983">
        <v>13300</v>
      </c>
      <c r="G67" s="983">
        <v>13300</v>
      </c>
      <c r="H67" s="983">
        <v>0</v>
      </c>
    </row>
    <row r="68" spans="1:8" s="995" customFormat="1" ht="15" hidden="1" customHeight="1">
      <c r="A68" s="1550"/>
      <c r="B68" s="1553"/>
      <c r="C68" s="1556"/>
      <c r="D68" s="982" t="s">
        <v>22</v>
      </c>
      <c r="E68" s="983">
        <v>0</v>
      </c>
      <c r="F68" s="983"/>
      <c r="G68" s="983"/>
      <c r="H68" s="983">
        <v>0</v>
      </c>
    </row>
    <row r="69" spans="1:8" s="995" customFormat="1" ht="15" hidden="1" customHeight="1">
      <c r="A69" s="1551"/>
      <c r="B69" s="1554"/>
      <c r="C69" s="1557"/>
      <c r="D69" s="982" t="s">
        <v>23</v>
      </c>
      <c r="E69" s="983">
        <f>E67+E68</f>
        <v>0</v>
      </c>
      <c r="F69" s="983">
        <f>F67+F68</f>
        <v>13300</v>
      </c>
      <c r="G69" s="983">
        <f>G67+G68</f>
        <v>13300</v>
      </c>
      <c r="H69" s="983">
        <f>H67+H68</f>
        <v>0</v>
      </c>
    </row>
    <row r="70" spans="1:8" s="1000" customFormat="1" ht="17.25" customHeight="1">
      <c r="A70" s="1570"/>
      <c r="B70" s="1571" t="s">
        <v>345</v>
      </c>
      <c r="C70" s="1572"/>
      <c r="D70" s="998" t="s">
        <v>21</v>
      </c>
      <c r="E70" s="999">
        <f t="shared" ref="E70:H72" si="4">E10+E13+E16+E19+E28+E64+E31+E40+E43+E67+E46+E55</f>
        <v>0</v>
      </c>
      <c r="F70" s="999">
        <f t="shared" si="4"/>
        <v>2256683</v>
      </c>
      <c r="G70" s="999">
        <f t="shared" si="4"/>
        <v>2256683</v>
      </c>
      <c r="H70" s="999">
        <f t="shared" si="4"/>
        <v>0</v>
      </c>
    </row>
    <row r="71" spans="1:8" s="970" customFormat="1" ht="17.25" customHeight="1">
      <c r="A71" s="1570"/>
      <c r="B71" s="1571"/>
      <c r="C71" s="1572"/>
      <c r="D71" s="998" t="s">
        <v>22</v>
      </c>
      <c r="E71" s="999">
        <f t="shared" si="4"/>
        <v>0</v>
      </c>
      <c r="F71" s="999">
        <f t="shared" si="4"/>
        <v>-271115</v>
      </c>
      <c r="G71" s="999">
        <f t="shared" si="4"/>
        <v>-271115</v>
      </c>
      <c r="H71" s="999">
        <f t="shared" si="4"/>
        <v>0</v>
      </c>
    </row>
    <row r="72" spans="1:8" s="970" customFormat="1" ht="17.25" customHeight="1">
      <c r="A72" s="1570"/>
      <c r="B72" s="1571"/>
      <c r="C72" s="1572"/>
      <c r="D72" s="998" t="s">
        <v>23</v>
      </c>
      <c r="E72" s="999">
        <f t="shared" si="4"/>
        <v>0</v>
      </c>
      <c r="F72" s="999">
        <f t="shared" si="4"/>
        <v>1985568</v>
      </c>
      <c r="G72" s="999">
        <f t="shared" si="4"/>
        <v>1985568</v>
      </c>
      <c r="H72" s="999">
        <f t="shared" si="4"/>
        <v>0</v>
      </c>
    </row>
    <row r="73" spans="1:8" s="970" customFormat="1" ht="12.75" customHeight="1">
      <c r="A73" s="966"/>
      <c r="B73" s="967"/>
      <c r="C73" s="968"/>
      <c r="D73" s="968"/>
      <c r="E73" s="972"/>
      <c r="F73" s="972"/>
      <c r="G73" s="972"/>
      <c r="H73" s="972"/>
    </row>
    <row r="74" spans="1:8" s="970" customFormat="1" ht="6.75" customHeight="1">
      <c r="A74" s="966"/>
      <c r="B74" s="967"/>
      <c r="C74" s="968"/>
      <c r="D74" s="968"/>
      <c r="E74" s="972"/>
      <c r="F74" s="972"/>
      <c r="G74" s="972"/>
      <c r="H74" s="972"/>
    </row>
    <row r="75" spans="1:8" s="1005" customFormat="1" ht="15" customHeight="1">
      <c r="A75" s="1001" t="s">
        <v>5</v>
      </c>
      <c r="B75" s="1002" t="s">
        <v>1339</v>
      </c>
      <c r="C75" s="1003"/>
      <c r="D75" s="1004"/>
      <c r="E75" s="1004"/>
      <c r="F75" s="1004"/>
      <c r="G75" s="1004"/>
      <c r="H75" s="1004"/>
    </row>
    <row r="76" spans="1:8" s="1005" customFormat="1" ht="15" customHeight="1">
      <c r="A76" s="1001"/>
      <c r="B76" s="1002" t="s">
        <v>1340</v>
      </c>
      <c r="C76" s="1003"/>
      <c r="D76" s="1004"/>
      <c r="E76" s="1004"/>
      <c r="F76" s="1004"/>
      <c r="G76" s="1004"/>
      <c r="H76" s="1004"/>
    </row>
    <row r="77" spans="1:8" s="970" customFormat="1" ht="15" customHeight="1">
      <c r="A77" s="1001"/>
      <c r="B77" s="1002" t="s">
        <v>213</v>
      </c>
      <c r="C77" s="1003"/>
      <c r="D77" s="968"/>
      <c r="E77" s="972"/>
      <c r="F77" s="972"/>
      <c r="G77" s="972"/>
      <c r="H77" s="972"/>
    </row>
  </sheetData>
  <sheetProtection password="C25B" sheet="1"/>
  <mergeCells count="52">
    <mergeCell ref="A70:A72"/>
    <mergeCell ref="B70:B72"/>
    <mergeCell ref="C70:C72"/>
    <mergeCell ref="C58:C60"/>
    <mergeCell ref="C61:C63"/>
    <mergeCell ref="A64:A66"/>
    <mergeCell ref="B64:B66"/>
    <mergeCell ref="C64:C66"/>
    <mergeCell ref="A67:A69"/>
    <mergeCell ref="B67:B69"/>
    <mergeCell ref="C67:C69"/>
    <mergeCell ref="A46:A48"/>
    <mergeCell ref="B46:B48"/>
    <mergeCell ref="C46:C48"/>
    <mergeCell ref="C49:C51"/>
    <mergeCell ref="C52:C54"/>
    <mergeCell ref="A55:A57"/>
    <mergeCell ref="B55:B57"/>
    <mergeCell ref="C55:C57"/>
    <mergeCell ref="A40:A42"/>
    <mergeCell ref="B40:B42"/>
    <mergeCell ref="C40:C42"/>
    <mergeCell ref="A43:A45"/>
    <mergeCell ref="B43:B45"/>
    <mergeCell ref="C43:C45"/>
    <mergeCell ref="A28:A30"/>
    <mergeCell ref="B28:B30"/>
    <mergeCell ref="C28:C30"/>
    <mergeCell ref="A31:A39"/>
    <mergeCell ref="B31:B33"/>
    <mergeCell ref="C31:C33"/>
    <mergeCell ref="C34:C36"/>
    <mergeCell ref="C37:C39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5:H5"/>
    <mergeCell ref="A10:A12"/>
    <mergeCell ref="B10:B12"/>
    <mergeCell ref="C10:C12"/>
    <mergeCell ref="A13:A15"/>
    <mergeCell ref="B13:B15"/>
    <mergeCell ref="C13:C15"/>
  </mergeCells>
  <printOptions horizontalCentered="1"/>
  <pageMargins left="0.62992125984251968" right="0.62992125984251968" top="0.98425196850393704" bottom="0.9842519685039370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BreakPreview" topLeftCell="A91" zoomScaleNormal="100" zoomScaleSheetLayoutView="100" workbookViewId="0">
      <selection sqref="A1:G103"/>
    </sheetView>
  </sheetViews>
  <sheetFormatPr defaultRowHeight="12.75"/>
  <cols>
    <col min="1" max="1" width="7.625" style="543" customWidth="1"/>
    <col min="2" max="2" width="7.125" style="501" customWidth="1"/>
    <col min="3" max="3" width="36.375" style="502" customWidth="1"/>
    <col min="4" max="4" width="13.375" style="502" customWidth="1"/>
    <col min="5" max="5" width="10.875" style="502" customWidth="1"/>
    <col min="6" max="6" width="11.5" style="502" customWidth="1"/>
    <col min="7" max="7" width="13.375" style="502" customWidth="1"/>
    <col min="8" max="16384" width="9" style="502"/>
  </cols>
  <sheetData>
    <row r="1" spans="1:7">
      <c r="A1" s="500"/>
      <c r="D1" s="503"/>
      <c r="E1" s="504" t="s">
        <v>630</v>
      </c>
      <c r="F1" s="503"/>
      <c r="G1" s="503"/>
    </row>
    <row r="2" spans="1:7">
      <c r="A2" s="500"/>
      <c r="D2" s="503"/>
      <c r="E2" s="504" t="s">
        <v>584</v>
      </c>
      <c r="F2" s="503"/>
      <c r="G2" s="503"/>
    </row>
    <row r="3" spans="1:7">
      <c r="A3" s="500"/>
      <c r="D3" s="503"/>
      <c r="E3" s="504" t="s">
        <v>585</v>
      </c>
      <c r="F3" s="503"/>
      <c r="G3" s="503"/>
    </row>
    <row r="4" spans="1:7" ht="7.5" customHeight="1">
      <c r="A4" s="500"/>
      <c r="D4" s="503"/>
      <c r="E4" s="503"/>
      <c r="F4" s="503"/>
      <c r="G4" s="503"/>
    </row>
    <row r="5" spans="1:7" ht="48.75" customHeight="1">
      <c r="A5" s="1059" t="s">
        <v>586</v>
      </c>
      <c r="B5" s="1059"/>
      <c r="C5" s="1059"/>
      <c r="D5" s="1059"/>
      <c r="E5" s="1059"/>
      <c r="F5" s="1059"/>
      <c r="G5" s="1059"/>
    </row>
    <row r="6" spans="1:7" ht="9.75" customHeight="1">
      <c r="A6" s="500"/>
      <c r="D6" s="503"/>
      <c r="E6" s="503"/>
      <c r="F6" s="503"/>
      <c r="G6" s="505" t="s">
        <v>2</v>
      </c>
    </row>
    <row r="7" spans="1:7" ht="34.5" customHeight="1">
      <c r="A7" s="506" t="s">
        <v>587</v>
      </c>
      <c r="B7" s="506" t="s">
        <v>217</v>
      </c>
      <c r="C7" s="507" t="s">
        <v>218</v>
      </c>
      <c r="D7" s="508" t="s">
        <v>588</v>
      </c>
      <c r="E7" s="508" t="s">
        <v>589</v>
      </c>
      <c r="F7" s="508" t="s">
        <v>221</v>
      </c>
      <c r="G7" s="508" t="s">
        <v>590</v>
      </c>
    </row>
    <row r="8" spans="1:7">
      <c r="A8" s="509" t="s">
        <v>591</v>
      </c>
      <c r="B8" s="509" t="s">
        <v>592</v>
      </c>
      <c r="C8" s="510" t="s">
        <v>593</v>
      </c>
      <c r="D8" s="511" t="s">
        <v>594</v>
      </c>
      <c r="E8" s="511" t="s">
        <v>595</v>
      </c>
      <c r="F8" s="511" t="s">
        <v>596</v>
      </c>
      <c r="G8" s="511" t="s">
        <v>597</v>
      </c>
    </row>
    <row r="9" spans="1:7" s="516" customFormat="1" ht="19.5" customHeight="1">
      <c r="A9" s="512"/>
      <c r="B9" s="512"/>
      <c r="C9" s="513" t="s">
        <v>598</v>
      </c>
      <c r="D9" s="514">
        <v>1231165801.3699999</v>
      </c>
      <c r="E9" s="515">
        <f>E10+E16+E20+E26+E29+E34+E37+E63+E78+E83+E98+E71+E92+E95+E101</f>
        <v>48355470.710000001</v>
      </c>
      <c r="F9" s="515">
        <f>F10+F16+F20+F26+F29+F34+F37+F63+F78+F83+F98+F71+F92+F95+F101</f>
        <v>152785132</v>
      </c>
      <c r="G9" s="515">
        <f>D9+E9-F9</f>
        <v>1126736140.0799999</v>
      </c>
    </row>
    <row r="10" spans="1:7" s="520" customFormat="1" ht="15.75" customHeight="1">
      <c r="A10" s="517" t="s">
        <v>24</v>
      </c>
      <c r="B10" s="517" t="s">
        <v>486</v>
      </c>
      <c r="C10" s="518" t="s">
        <v>25</v>
      </c>
      <c r="D10" s="519">
        <v>12261663.359999999</v>
      </c>
      <c r="E10" s="519">
        <f>E11+E14</f>
        <v>11107.71</v>
      </c>
      <c r="F10" s="519">
        <f>F11+F14</f>
        <v>715000</v>
      </c>
      <c r="G10" s="519">
        <f>D10+E10-F10</f>
        <v>11557771.07</v>
      </c>
    </row>
    <row r="11" spans="1:7" s="520" customFormat="1" ht="15.75" customHeight="1">
      <c r="A11" s="521" t="s">
        <v>34</v>
      </c>
      <c r="B11" s="521" t="s">
        <v>486</v>
      </c>
      <c r="C11" s="522" t="s">
        <v>35</v>
      </c>
      <c r="D11" s="523">
        <v>6550000</v>
      </c>
      <c r="E11" s="523">
        <f>E12+E13</f>
        <v>0</v>
      </c>
      <c r="F11" s="523">
        <f>F12+F13</f>
        <v>715000</v>
      </c>
      <c r="G11" s="523">
        <f t="shared" ref="G11:G76" si="0">D11+E11-F11</f>
        <v>5835000</v>
      </c>
    </row>
    <row r="12" spans="1:7" s="527" customFormat="1" ht="15.75" customHeight="1">
      <c r="A12" s="524" t="s">
        <v>486</v>
      </c>
      <c r="B12" s="524" t="s">
        <v>472</v>
      </c>
      <c r="C12" s="525" t="s">
        <v>473</v>
      </c>
      <c r="D12" s="526">
        <v>6500000</v>
      </c>
      <c r="E12" s="526">
        <v>0</v>
      </c>
      <c r="F12" s="526">
        <v>700000</v>
      </c>
      <c r="G12" s="526">
        <f t="shared" si="0"/>
        <v>5800000</v>
      </c>
    </row>
    <row r="13" spans="1:7" s="527" customFormat="1" ht="25.5">
      <c r="A13" s="524" t="s">
        <v>486</v>
      </c>
      <c r="B13" s="524" t="s">
        <v>599</v>
      </c>
      <c r="C13" s="525" t="s">
        <v>600</v>
      </c>
      <c r="D13" s="526">
        <v>50000</v>
      </c>
      <c r="E13" s="526">
        <v>0</v>
      </c>
      <c r="F13" s="526">
        <v>15000</v>
      </c>
      <c r="G13" s="526">
        <f t="shared" si="0"/>
        <v>35000</v>
      </c>
    </row>
    <row r="14" spans="1:7" s="520" customFormat="1" ht="15.75" customHeight="1">
      <c r="A14" s="521" t="s">
        <v>36</v>
      </c>
      <c r="B14" s="521" t="s">
        <v>486</v>
      </c>
      <c r="C14" s="522" t="s">
        <v>37</v>
      </c>
      <c r="D14" s="523">
        <v>111663.36</v>
      </c>
      <c r="E14" s="523">
        <f>E15</f>
        <v>11107.71</v>
      </c>
      <c r="F14" s="523">
        <v>0</v>
      </c>
      <c r="G14" s="523">
        <f t="shared" si="0"/>
        <v>122771.07</v>
      </c>
    </row>
    <row r="15" spans="1:7" s="527" customFormat="1" ht="55.5" customHeight="1">
      <c r="A15" s="524" t="s">
        <v>486</v>
      </c>
      <c r="B15" s="524">
        <v>2210</v>
      </c>
      <c r="C15" s="525" t="s">
        <v>601</v>
      </c>
      <c r="D15" s="526">
        <v>100863.36</v>
      </c>
      <c r="E15" s="526">
        <v>11107.71</v>
      </c>
      <c r="F15" s="526">
        <v>0</v>
      </c>
      <c r="G15" s="526">
        <f t="shared" si="0"/>
        <v>111971.07</v>
      </c>
    </row>
    <row r="16" spans="1:7" s="520" customFormat="1" ht="17.25" customHeight="1">
      <c r="A16" s="517" t="s">
        <v>38</v>
      </c>
      <c r="B16" s="517" t="s">
        <v>486</v>
      </c>
      <c r="C16" s="518" t="s">
        <v>39</v>
      </c>
      <c r="D16" s="519">
        <v>444000</v>
      </c>
      <c r="E16" s="519">
        <v>0</v>
      </c>
      <c r="F16" s="519">
        <f>F17</f>
        <v>105540</v>
      </c>
      <c r="G16" s="519">
        <f t="shared" si="0"/>
        <v>338460</v>
      </c>
    </row>
    <row r="17" spans="1:7" s="520" customFormat="1" ht="55.5" customHeight="1">
      <c r="A17" s="521" t="s">
        <v>42</v>
      </c>
      <c r="B17" s="521" t="s">
        <v>486</v>
      </c>
      <c r="C17" s="522" t="s">
        <v>43</v>
      </c>
      <c r="D17" s="523">
        <v>380000</v>
      </c>
      <c r="E17" s="523">
        <v>0</v>
      </c>
      <c r="F17" s="523">
        <f>F18+F19</f>
        <v>105540</v>
      </c>
      <c r="G17" s="523">
        <f t="shared" si="0"/>
        <v>274460</v>
      </c>
    </row>
    <row r="18" spans="1:7" s="527" customFormat="1" ht="78.75" customHeight="1">
      <c r="A18" s="524" t="s">
        <v>486</v>
      </c>
      <c r="B18" s="524">
        <v>2058</v>
      </c>
      <c r="C18" s="525" t="s">
        <v>521</v>
      </c>
      <c r="D18" s="526">
        <v>285000</v>
      </c>
      <c r="E18" s="526">
        <v>0</v>
      </c>
      <c r="F18" s="526">
        <v>79154</v>
      </c>
      <c r="G18" s="526">
        <f t="shared" si="0"/>
        <v>205846</v>
      </c>
    </row>
    <row r="19" spans="1:7" s="527" customFormat="1" ht="78.75" customHeight="1">
      <c r="A19" s="524" t="s">
        <v>486</v>
      </c>
      <c r="B19" s="524">
        <v>2059</v>
      </c>
      <c r="C19" s="525" t="s">
        <v>521</v>
      </c>
      <c r="D19" s="526">
        <v>95000</v>
      </c>
      <c r="E19" s="526">
        <v>0</v>
      </c>
      <c r="F19" s="526">
        <v>26386</v>
      </c>
      <c r="G19" s="526">
        <f t="shared" si="0"/>
        <v>68614</v>
      </c>
    </row>
    <row r="20" spans="1:7" s="520" customFormat="1" ht="15.75" customHeight="1">
      <c r="A20" s="517" t="s">
        <v>45</v>
      </c>
      <c r="B20" s="517" t="s">
        <v>486</v>
      </c>
      <c r="C20" s="528" t="s">
        <v>46</v>
      </c>
      <c r="D20" s="519">
        <v>6025214</v>
      </c>
      <c r="E20" s="519">
        <f>E21+E23</f>
        <v>2876</v>
      </c>
      <c r="F20" s="519">
        <v>0</v>
      </c>
      <c r="G20" s="519">
        <f t="shared" si="0"/>
        <v>6028090</v>
      </c>
    </row>
    <row r="21" spans="1:7" s="520" customFormat="1" ht="15.75" customHeight="1">
      <c r="A21" s="521">
        <v>15011</v>
      </c>
      <c r="B21" s="521" t="s">
        <v>486</v>
      </c>
      <c r="C21" s="522" t="s">
        <v>505</v>
      </c>
      <c r="D21" s="523">
        <v>5813198</v>
      </c>
      <c r="E21" s="523">
        <f>E22</f>
        <v>216</v>
      </c>
      <c r="F21" s="523">
        <v>0</v>
      </c>
      <c r="G21" s="523">
        <f t="shared" si="0"/>
        <v>5813414</v>
      </c>
    </row>
    <row r="22" spans="1:7" s="527" customFormat="1" ht="78" customHeight="1">
      <c r="A22" s="524" t="s">
        <v>486</v>
      </c>
      <c r="B22" s="524">
        <v>6669</v>
      </c>
      <c r="C22" s="525" t="s">
        <v>602</v>
      </c>
      <c r="D22" s="526">
        <v>4717</v>
      </c>
      <c r="E22" s="526">
        <v>216</v>
      </c>
      <c r="F22" s="526">
        <v>0</v>
      </c>
      <c r="G22" s="526">
        <f t="shared" si="0"/>
        <v>4933</v>
      </c>
    </row>
    <row r="23" spans="1:7" s="520" customFormat="1" ht="27" customHeight="1">
      <c r="A23" s="521">
        <v>15013</v>
      </c>
      <c r="B23" s="521" t="s">
        <v>486</v>
      </c>
      <c r="C23" s="522" t="s">
        <v>50</v>
      </c>
      <c r="D23" s="523">
        <v>7734</v>
      </c>
      <c r="E23" s="523">
        <f>E24+E25</f>
        <v>2660</v>
      </c>
      <c r="F23" s="523">
        <v>0</v>
      </c>
      <c r="G23" s="523">
        <f t="shared" si="0"/>
        <v>10394</v>
      </c>
    </row>
    <row r="24" spans="1:7" s="527" customFormat="1" ht="66.75" customHeight="1">
      <c r="A24" s="524" t="s">
        <v>486</v>
      </c>
      <c r="B24" s="524">
        <v>2917</v>
      </c>
      <c r="C24" s="525" t="s">
        <v>603</v>
      </c>
      <c r="D24" s="526">
        <v>4679</v>
      </c>
      <c r="E24" s="526">
        <v>2261</v>
      </c>
      <c r="F24" s="526">
        <v>0</v>
      </c>
      <c r="G24" s="526">
        <f t="shared" si="0"/>
        <v>6940</v>
      </c>
    </row>
    <row r="25" spans="1:7" s="527" customFormat="1" ht="66.75" customHeight="1">
      <c r="A25" s="524" t="s">
        <v>486</v>
      </c>
      <c r="B25" s="524">
        <v>2919</v>
      </c>
      <c r="C25" s="525" t="s">
        <v>603</v>
      </c>
      <c r="D25" s="526">
        <v>3055</v>
      </c>
      <c r="E25" s="526">
        <v>399</v>
      </c>
      <c r="F25" s="526">
        <v>0</v>
      </c>
      <c r="G25" s="526">
        <f t="shared" si="0"/>
        <v>3454</v>
      </c>
    </row>
    <row r="26" spans="1:7" s="520" customFormat="1" ht="14.25" customHeight="1">
      <c r="A26" s="517" t="s">
        <v>56</v>
      </c>
      <c r="B26" s="517" t="s">
        <v>486</v>
      </c>
      <c r="C26" s="528" t="s">
        <v>57</v>
      </c>
      <c r="D26" s="519">
        <v>80693431</v>
      </c>
      <c r="E26" s="519">
        <f>E27</f>
        <v>33600</v>
      </c>
      <c r="F26" s="519">
        <v>0</v>
      </c>
      <c r="G26" s="519">
        <f t="shared" si="0"/>
        <v>80727031</v>
      </c>
    </row>
    <row r="27" spans="1:7" s="520" customFormat="1" ht="14.25" customHeight="1">
      <c r="A27" s="521">
        <v>60013</v>
      </c>
      <c r="B27" s="521" t="s">
        <v>486</v>
      </c>
      <c r="C27" s="522" t="s">
        <v>66</v>
      </c>
      <c r="D27" s="523">
        <v>12138631</v>
      </c>
      <c r="E27" s="523">
        <f>E28</f>
        <v>33600</v>
      </c>
      <c r="F27" s="523">
        <v>0</v>
      </c>
      <c r="G27" s="523">
        <f t="shared" si="0"/>
        <v>12172231</v>
      </c>
    </row>
    <row r="28" spans="1:7" s="527" customFormat="1" ht="54" customHeight="1">
      <c r="A28" s="524" t="s">
        <v>486</v>
      </c>
      <c r="B28" s="524">
        <v>6300</v>
      </c>
      <c r="C28" s="525" t="s">
        <v>604</v>
      </c>
      <c r="D28" s="526">
        <v>2953621</v>
      </c>
      <c r="E28" s="526">
        <v>33600</v>
      </c>
      <c r="F28" s="526">
        <v>0</v>
      </c>
      <c r="G28" s="526">
        <f t="shared" si="0"/>
        <v>2987221</v>
      </c>
    </row>
    <row r="29" spans="1:7" s="520" customFormat="1" ht="15" customHeight="1">
      <c r="A29" s="517" t="s">
        <v>82</v>
      </c>
      <c r="B29" s="517" t="s">
        <v>486</v>
      </c>
      <c r="C29" s="518" t="s">
        <v>83</v>
      </c>
      <c r="D29" s="519">
        <v>407050</v>
      </c>
      <c r="E29" s="519">
        <v>0</v>
      </c>
      <c r="F29" s="519">
        <f>F30+F32</f>
        <v>1045</v>
      </c>
      <c r="G29" s="519">
        <f t="shared" si="0"/>
        <v>406005</v>
      </c>
    </row>
    <row r="30" spans="1:7" s="520" customFormat="1" ht="15" customHeight="1">
      <c r="A30" s="521">
        <v>71003</v>
      </c>
      <c r="B30" s="521" t="s">
        <v>486</v>
      </c>
      <c r="C30" s="522" t="s">
        <v>85</v>
      </c>
      <c r="D30" s="523">
        <v>2700</v>
      </c>
      <c r="E30" s="523">
        <v>0</v>
      </c>
      <c r="F30" s="523">
        <f>F31</f>
        <v>845</v>
      </c>
      <c r="G30" s="523">
        <f t="shared" si="0"/>
        <v>1855</v>
      </c>
    </row>
    <row r="31" spans="1:7" s="527" customFormat="1" ht="15" customHeight="1">
      <c r="A31" s="529" t="s">
        <v>486</v>
      </c>
      <c r="B31" s="529" t="s">
        <v>605</v>
      </c>
      <c r="C31" s="530" t="s">
        <v>606</v>
      </c>
      <c r="D31" s="531">
        <v>2500</v>
      </c>
      <c r="E31" s="531">
        <v>0</v>
      </c>
      <c r="F31" s="531">
        <v>845</v>
      </c>
      <c r="G31" s="531">
        <f t="shared" si="0"/>
        <v>1655</v>
      </c>
    </row>
    <row r="32" spans="1:7" s="520" customFormat="1" ht="15" customHeight="1">
      <c r="A32" s="532">
        <v>71005</v>
      </c>
      <c r="B32" s="532" t="s">
        <v>486</v>
      </c>
      <c r="C32" s="533" t="s">
        <v>89</v>
      </c>
      <c r="D32" s="534">
        <v>269350</v>
      </c>
      <c r="E32" s="534">
        <v>0</v>
      </c>
      <c r="F32" s="534">
        <f>F33</f>
        <v>200</v>
      </c>
      <c r="G32" s="534">
        <f t="shared" si="0"/>
        <v>269150</v>
      </c>
    </row>
    <row r="33" spans="1:7" s="527" customFormat="1" ht="42.75" customHeight="1">
      <c r="A33" s="524" t="s">
        <v>486</v>
      </c>
      <c r="B33" s="524">
        <v>2360</v>
      </c>
      <c r="C33" s="525" t="s">
        <v>607</v>
      </c>
      <c r="D33" s="526">
        <v>1350</v>
      </c>
      <c r="E33" s="526">
        <v>0</v>
      </c>
      <c r="F33" s="526">
        <v>200</v>
      </c>
      <c r="G33" s="526">
        <f t="shared" si="0"/>
        <v>1150</v>
      </c>
    </row>
    <row r="34" spans="1:7" s="520" customFormat="1" ht="67.5" customHeight="1">
      <c r="A34" s="517" t="s">
        <v>574</v>
      </c>
      <c r="B34" s="517" t="s">
        <v>486</v>
      </c>
      <c r="C34" s="528" t="s">
        <v>608</v>
      </c>
      <c r="D34" s="519">
        <v>283935521</v>
      </c>
      <c r="E34" s="519">
        <v>0</v>
      </c>
      <c r="F34" s="519">
        <f>F35</f>
        <v>6396784</v>
      </c>
      <c r="G34" s="519">
        <f t="shared" si="0"/>
        <v>277538737</v>
      </c>
    </row>
    <row r="35" spans="1:7" s="520" customFormat="1" ht="27" customHeight="1">
      <c r="A35" s="521">
        <v>75623</v>
      </c>
      <c r="B35" s="521" t="s">
        <v>486</v>
      </c>
      <c r="C35" s="522" t="s">
        <v>609</v>
      </c>
      <c r="D35" s="523">
        <v>283224821</v>
      </c>
      <c r="E35" s="523">
        <v>0</v>
      </c>
      <c r="F35" s="523">
        <f>F36</f>
        <v>6396784</v>
      </c>
      <c r="G35" s="523">
        <f t="shared" si="0"/>
        <v>276828037</v>
      </c>
    </row>
    <row r="36" spans="1:7" s="527" customFormat="1" ht="15.75" customHeight="1">
      <c r="A36" s="524" t="s">
        <v>486</v>
      </c>
      <c r="B36" s="524" t="s">
        <v>610</v>
      </c>
      <c r="C36" s="525" t="s">
        <v>611</v>
      </c>
      <c r="D36" s="526">
        <v>80224821</v>
      </c>
      <c r="E36" s="526">
        <v>0</v>
      </c>
      <c r="F36" s="526">
        <v>6396784</v>
      </c>
      <c r="G36" s="526">
        <f t="shared" si="0"/>
        <v>73828037</v>
      </c>
    </row>
    <row r="37" spans="1:7" s="520" customFormat="1" ht="15" customHeight="1">
      <c r="A37" s="517" t="s">
        <v>127</v>
      </c>
      <c r="B37" s="517" t="s">
        <v>486</v>
      </c>
      <c r="C37" s="528" t="s">
        <v>128</v>
      </c>
      <c r="D37" s="519">
        <v>752017775</v>
      </c>
      <c r="E37" s="519">
        <f>E38+E40+E44+E55+E46</f>
        <v>46118062</v>
      </c>
      <c r="F37" s="519">
        <f>F38+F40+F44+F55+F46</f>
        <v>136441361</v>
      </c>
      <c r="G37" s="519">
        <f t="shared" si="0"/>
        <v>661694476</v>
      </c>
    </row>
    <row r="38" spans="1:7" s="520" customFormat="1" ht="27" customHeight="1">
      <c r="A38" s="521">
        <v>75801</v>
      </c>
      <c r="B38" s="521" t="s">
        <v>486</v>
      </c>
      <c r="C38" s="522" t="s">
        <v>612</v>
      </c>
      <c r="D38" s="523">
        <v>63822420</v>
      </c>
      <c r="E38" s="523">
        <f>E39</f>
        <v>427404</v>
      </c>
      <c r="F38" s="523">
        <v>0</v>
      </c>
      <c r="G38" s="523">
        <f t="shared" si="0"/>
        <v>64249824</v>
      </c>
    </row>
    <row r="39" spans="1:7" s="527" customFormat="1" ht="15" customHeight="1">
      <c r="A39" s="524" t="s">
        <v>486</v>
      </c>
      <c r="B39" s="524">
        <v>2920</v>
      </c>
      <c r="C39" s="525" t="s">
        <v>613</v>
      </c>
      <c r="D39" s="526">
        <v>63822420</v>
      </c>
      <c r="E39" s="526">
        <v>427404</v>
      </c>
      <c r="F39" s="526">
        <v>0</v>
      </c>
      <c r="G39" s="526">
        <f t="shared" si="0"/>
        <v>64249824</v>
      </c>
    </row>
    <row r="40" spans="1:7" s="520" customFormat="1" ht="15" customHeight="1">
      <c r="A40" s="521">
        <v>75814</v>
      </c>
      <c r="B40" s="521" t="s">
        <v>486</v>
      </c>
      <c r="C40" s="522" t="s">
        <v>614</v>
      </c>
      <c r="D40" s="523">
        <v>1714000</v>
      </c>
      <c r="E40" s="523">
        <f>SUM(E41:E43)</f>
        <v>33765147</v>
      </c>
      <c r="F40" s="523">
        <f>SUM(F41:F43)</f>
        <v>1064000</v>
      </c>
      <c r="G40" s="523">
        <f t="shared" si="0"/>
        <v>34415147</v>
      </c>
    </row>
    <row r="41" spans="1:7" s="527" customFormat="1" ht="15" customHeight="1">
      <c r="A41" s="524" t="s">
        <v>486</v>
      </c>
      <c r="B41" s="524" t="s">
        <v>615</v>
      </c>
      <c r="C41" s="525" t="s">
        <v>616</v>
      </c>
      <c r="D41" s="526">
        <v>1714000</v>
      </c>
      <c r="E41" s="526">
        <v>0</v>
      </c>
      <c r="F41" s="526">
        <v>1064000</v>
      </c>
      <c r="G41" s="526">
        <f t="shared" si="0"/>
        <v>650000</v>
      </c>
    </row>
    <row r="42" spans="1:7" s="527" customFormat="1" ht="39.75" customHeight="1">
      <c r="A42" s="524" t="s">
        <v>486</v>
      </c>
      <c r="B42" s="524">
        <v>2990</v>
      </c>
      <c r="C42" s="525" t="s">
        <v>617</v>
      </c>
      <c r="D42" s="526">
        <v>0</v>
      </c>
      <c r="E42" s="526">
        <v>254939</v>
      </c>
      <c r="F42" s="526">
        <v>0</v>
      </c>
      <c r="G42" s="526">
        <f t="shared" si="0"/>
        <v>254939</v>
      </c>
    </row>
    <row r="43" spans="1:7" s="527" customFormat="1" ht="40.5" customHeight="1">
      <c r="A43" s="524" t="s">
        <v>486</v>
      </c>
      <c r="B43" s="524">
        <v>6680</v>
      </c>
      <c r="C43" s="525" t="s">
        <v>617</v>
      </c>
      <c r="D43" s="526">
        <v>0</v>
      </c>
      <c r="E43" s="526">
        <v>33510208</v>
      </c>
      <c r="F43" s="526">
        <v>0</v>
      </c>
      <c r="G43" s="526">
        <f t="shared" si="0"/>
        <v>33510208</v>
      </c>
    </row>
    <row r="44" spans="1:7" s="520" customFormat="1" ht="28.5" customHeight="1">
      <c r="A44" s="521">
        <v>75833</v>
      </c>
      <c r="B44" s="521" t="s">
        <v>486</v>
      </c>
      <c r="C44" s="522" t="s">
        <v>618</v>
      </c>
      <c r="D44" s="523">
        <v>69820331</v>
      </c>
      <c r="E44" s="523">
        <f>E45</f>
        <v>7757814</v>
      </c>
      <c r="F44" s="523">
        <f>F45</f>
        <v>0</v>
      </c>
      <c r="G44" s="523">
        <f t="shared" si="0"/>
        <v>77578145</v>
      </c>
    </row>
    <row r="45" spans="1:7" s="527" customFormat="1" ht="13.5" customHeight="1">
      <c r="A45" s="524" t="s">
        <v>486</v>
      </c>
      <c r="B45" s="524">
        <v>2920</v>
      </c>
      <c r="C45" s="525" t="s">
        <v>613</v>
      </c>
      <c r="D45" s="526">
        <v>69820331</v>
      </c>
      <c r="E45" s="526">
        <v>7757814</v>
      </c>
      <c r="F45" s="526">
        <v>0</v>
      </c>
      <c r="G45" s="526">
        <f t="shared" si="0"/>
        <v>77578145</v>
      </c>
    </row>
    <row r="46" spans="1:7" s="520" customFormat="1" ht="41.25" customHeight="1">
      <c r="A46" s="535">
        <v>75863</v>
      </c>
      <c r="B46" s="536" t="s">
        <v>486</v>
      </c>
      <c r="C46" s="537" t="s">
        <v>619</v>
      </c>
      <c r="D46" s="536">
        <v>268641156</v>
      </c>
      <c r="E46" s="536">
        <f>SUM(E47:E54)</f>
        <v>4031383</v>
      </c>
      <c r="F46" s="536">
        <f>SUM(F47:F54)</f>
        <v>109338645</v>
      </c>
      <c r="G46" s="536">
        <v>163333894</v>
      </c>
    </row>
    <row r="47" spans="1:7" s="527" customFormat="1" ht="78" customHeight="1">
      <c r="A47" s="524" t="s">
        <v>486</v>
      </c>
      <c r="B47" s="524">
        <v>2007</v>
      </c>
      <c r="C47" s="525" t="s">
        <v>620</v>
      </c>
      <c r="D47" s="526">
        <v>11538294</v>
      </c>
      <c r="E47" s="526">
        <v>0</v>
      </c>
      <c r="F47" s="526">
        <v>6461126</v>
      </c>
      <c r="G47" s="526">
        <f t="shared" si="0"/>
        <v>5077168</v>
      </c>
    </row>
    <row r="48" spans="1:7" s="527" customFormat="1" ht="79.5" customHeight="1">
      <c r="A48" s="524" t="s">
        <v>486</v>
      </c>
      <c r="B48" s="524">
        <v>2009</v>
      </c>
      <c r="C48" s="525" t="s">
        <v>620</v>
      </c>
      <c r="D48" s="526">
        <v>712016</v>
      </c>
      <c r="E48" s="526">
        <v>107679</v>
      </c>
      <c r="F48" s="526">
        <v>0</v>
      </c>
      <c r="G48" s="526">
        <f t="shared" si="0"/>
        <v>819695</v>
      </c>
    </row>
    <row r="49" spans="1:7" s="527" customFormat="1" ht="78.75" customHeight="1">
      <c r="A49" s="524" t="s">
        <v>486</v>
      </c>
      <c r="B49" s="524">
        <v>2057</v>
      </c>
      <c r="C49" s="525" t="s">
        <v>521</v>
      </c>
      <c r="D49" s="526">
        <v>24974574</v>
      </c>
      <c r="E49" s="526">
        <v>3923704</v>
      </c>
      <c r="F49" s="526">
        <v>0</v>
      </c>
      <c r="G49" s="526">
        <f t="shared" si="0"/>
        <v>28898278</v>
      </c>
    </row>
    <row r="50" spans="1:7" s="527" customFormat="1" ht="79.5" customHeight="1">
      <c r="A50" s="524" t="s">
        <v>486</v>
      </c>
      <c r="B50" s="524">
        <v>2059</v>
      </c>
      <c r="C50" s="525" t="s">
        <v>521</v>
      </c>
      <c r="D50" s="526">
        <v>1709203</v>
      </c>
      <c r="E50" s="526">
        <v>0</v>
      </c>
      <c r="F50" s="526">
        <v>280860</v>
      </c>
      <c r="G50" s="526">
        <f t="shared" si="0"/>
        <v>1428343</v>
      </c>
    </row>
    <row r="51" spans="1:7" s="527" customFormat="1" ht="83.25" customHeight="1">
      <c r="A51" s="524" t="s">
        <v>486</v>
      </c>
      <c r="B51" s="524">
        <v>6207</v>
      </c>
      <c r="C51" s="525" t="s">
        <v>621</v>
      </c>
      <c r="D51" s="526">
        <v>117476088</v>
      </c>
      <c r="E51" s="526">
        <v>0</v>
      </c>
      <c r="F51" s="526">
        <v>48596068</v>
      </c>
      <c r="G51" s="526">
        <f t="shared" si="0"/>
        <v>68880020</v>
      </c>
    </row>
    <row r="52" spans="1:7" s="527" customFormat="1" ht="80.25" customHeight="1">
      <c r="A52" s="529" t="s">
        <v>486</v>
      </c>
      <c r="B52" s="529">
        <v>6209</v>
      </c>
      <c r="C52" s="530" t="s">
        <v>621</v>
      </c>
      <c r="D52" s="531">
        <v>23928335</v>
      </c>
      <c r="E52" s="531">
        <v>0</v>
      </c>
      <c r="F52" s="531">
        <v>17253971</v>
      </c>
      <c r="G52" s="531">
        <f t="shared" si="0"/>
        <v>6674364</v>
      </c>
    </row>
    <row r="53" spans="1:7" s="527" customFormat="1" ht="78.75" customHeight="1">
      <c r="A53" s="538" t="s">
        <v>486</v>
      </c>
      <c r="B53" s="538">
        <v>6257</v>
      </c>
      <c r="C53" s="539" t="s">
        <v>538</v>
      </c>
      <c r="D53" s="540">
        <v>87949369</v>
      </c>
      <c r="E53" s="540">
        <v>0</v>
      </c>
      <c r="F53" s="540">
        <v>36606320</v>
      </c>
      <c r="G53" s="540">
        <f t="shared" si="0"/>
        <v>51343049</v>
      </c>
    </row>
    <row r="54" spans="1:7" s="527" customFormat="1" ht="78.75" customHeight="1">
      <c r="A54" s="524" t="s">
        <v>486</v>
      </c>
      <c r="B54" s="524">
        <v>6259</v>
      </c>
      <c r="C54" s="525" t="s">
        <v>538</v>
      </c>
      <c r="D54" s="526">
        <v>353277</v>
      </c>
      <c r="E54" s="526">
        <v>0</v>
      </c>
      <c r="F54" s="526">
        <v>140300</v>
      </c>
      <c r="G54" s="526">
        <f t="shared" si="0"/>
        <v>212977</v>
      </c>
    </row>
    <row r="55" spans="1:7" s="520" customFormat="1" ht="39.75" customHeight="1">
      <c r="A55" s="521">
        <v>75864</v>
      </c>
      <c r="B55" s="521" t="s">
        <v>486</v>
      </c>
      <c r="C55" s="522" t="s">
        <v>622</v>
      </c>
      <c r="D55" s="523">
        <v>177958120</v>
      </c>
      <c r="E55" s="523">
        <f>SUM(E56:E62)</f>
        <v>136314</v>
      </c>
      <c r="F55" s="523">
        <f>SUM(F56:F62)</f>
        <v>26038716</v>
      </c>
      <c r="G55" s="523">
        <f t="shared" si="0"/>
        <v>152055718</v>
      </c>
    </row>
    <row r="56" spans="1:7" s="527" customFormat="1" ht="78" customHeight="1">
      <c r="A56" s="524" t="s">
        <v>486</v>
      </c>
      <c r="B56" s="524">
        <v>2007</v>
      </c>
      <c r="C56" s="525" t="s">
        <v>620</v>
      </c>
      <c r="D56" s="526">
        <v>66119749</v>
      </c>
      <c r="E56" s="526">
        <v>0</v>
      </c>
      <c r="F56" s="526">
        <v>3383296</v>
      </c>
      <c r="G56" s="526">
        <f t="shared" si="0"/>
        <v>62736453</v>
      </c>
    </row>
    <row r="57" spans="1:7" s="527" customFormat="1" ht="80.25" customHeight="1">
      <c r="A57" s="524" t="s">
        <v>486</v>
      </c>
      <c r="B57" s="524">
        <v>2009</v>
      </c>
      <c r="C57" s="525" t="s">
        <v>620</v>
      </c>
      <c r="D57" s="526">
        <v>21755359</v>
      </c>
      <c r="E57" s="526">
        <v>0</v>
      </c>
      <c r="F57" s="526">
        <v>1106140</v>
      </c>
      <c r="G57" s="526">
        <f t="shared" si="0"/>
        <v>20649219</v>
      </c>
    </row>
    <row r="58" spans="1:7" s="527" customFormat="1" ht="78" customHeight="1">
      <c r="A58" s="524" t="s">
        <v>486</v>
      </c>
      <c r="B58" s="524">
        <v>2057</v>
      </c>
      <c r="C58" s="525" t="s">
        <v>521</v>
      </c>
      <c r="D58" s="526">
        <v>46860602</v>
      </c>
      <c r="E58" s="526">
        <v>0</v>
      </c>
      <c r="F58" s="526">
        <v>18787944</v>
      </c>
      <c r="G58" s="526">
        <f t="shared" si="0"/>
        <v>28072658</v>
      </c>
    </row>
    <row r="59" spans="1:7" s="527" customFormat="1" ht="78.75" customHeight="1">
      <c r="A59" s="524" t="s">
        <v>486</v>
      </c>
      <c r="B59" s="524">
        <v>2059</v>
      </c>
      <c r="C59" s="525" t="s">
        <v>521</v>
      </c>
      <c r="D59" s="526">
        <v>5491089</v>
      </c>
      <c r="E59" s="526">
        <v>0</v>
      </c>
      <c r="F59" s="526">
        <v>2211336</v>
      </c>
      <c r="G59" s="526">
        <f t="shared" si="0"/>
        <v>3279753</v>
      </c>
    </row>
    <row r="60" spans="1:7" s="527" customFormat="1" ht="78.75" customHeight="1">
      <c r="A60" s="524" t="s">
        <v>486</v>
      </c>
      <c r="B60" s="524">
        <v>6209</v>
      </c>
      <c r="C60" s="525" t="s">
        <v>621</v>
      </c>
      <c r="D60" s="526">
        <v>366021</v>
      </c>
      <c r="E60" s="526">
        <v>136314</v>
      </c>
      <c r="F60" s="526">
        <v>0</v>
      </c>
      <c r="G60" s="526">
        <f t="shared" si="0"/>
        <v>502335</v>
      </c>
    </row>
    <row r="61" spans="1:7" s="527" customFormat="1" ht="78.75" customHeight="1">
      <c r="A61" s="524" t="s">
        <v>486</v>
      </c>
      <c r="B61" s="524">
        <v>6257</v>
      </c>
      <c r="C61" s="525" t="s">
        <v>538</v>
      </c>
      <c r="D61" s="526">
        <v>517426</v>
      </c>
      <c r="E61" s="526">
        <v>0</v>
      </c>
      <c r="F61" s="526">
        <v>492105</v>
      </c>
      <c r="G61" s="526">
        <f t="shared" si="0"/>
        <v>25321</v>
      </c>
    </row>
    <row r="62" spans="1:7" s="527" customFormat="1" ht="82.5" customHeight="1">
      <c r="A62" s="524" t="s">
        <v>486</v>
      </c>
      <c r="B62" s="524">
        <v>6259</v>
      </c>
      <c r="C62" s="525" t="s">
        <v>538</v>
      </c>
      <c r="D62" s="526">
        <v>60874</v>
      </c>
      <c r="E62" s="526">
        <v>0</v>
      </c>
      <c r="F62" s="526">
        <v>57895</v>
      </c>
      <c r="G62" s="526">
        <f t="shared" si="0"/>
        <v>2979</v>
      </c>
    </row>
    <row r="63" spans="1:7" s="520" customFormat="1" ht="14.25" customHeight="1">
      <c r="A63" s="517" t="s">
        <v>131</v>
      </c>
      <c r="B63" s="517" t="s">
        <v>486</v>
      </c>
      <c r="C63" s="528" t="s">
        <v>132</v>
      </c>
      <c r="D63" s="519">
        <v>2637925.0099999998</v>
      </c>
      <c r="E63" s="519">
        <f>E64+E66+E69</f>
        <v>472535</v>
      </c>
      <c r="F63" s="519">
        <v>0</v>
      </c>
      <c r="G63" s="519">
        <f t="shared" si="0"/>
        <v>3110460.01</v>
      </c>
    </row>
    <row r="64" spans="1:7" s="520" customFormat="1" ht="16.5" customHeight="1">
      <c r="A64" s="521">
        <v>80102</v>
      </c>
      <c r="B64" s="541" t="s">
        <v>486</v>
      </c>
      <c r="C64" s="533" t="s">
        <v>134</v>
      </c>
      <c r="D64" s="523">
        <v>3550</v>
      </c>
      <c r="E64" s="523">
        <f>E65</f>
        <v>2000</v>
      </c>
      <c r="F64" s="523">
        <v>0</v>
      </c>
      <c r="G64" s="523">
        <f t="shared" si="0"/>
        <v>5550</v>
      </c>
    </row>
    <row r="65" spans="1:7" s="527" customFormat="1" ht="16.5" customHeight="1">
      <c r="A65" s="524" t="s">
        <v>486</v>
      </c>
      <c r="B65" s="542" t="s">
        <v>476</v>
      </c>
      <c r="C65" s="525" t="s">
        <v>477</v>
      </c>
      <c r="D65" s="526">
        <v>3550</v>
      </c>
      <c r="E65" s="526">
        <v>2000</v>
      </c>
      <c r="F65" s="526">
        <v>0</v>
      </c>
      <c r="G65" s="526">
        <f t="shared" si="0"/>
        <v>5550</v>
      </c>
    </row>
    <row r="66" spans="1:7" s="520" customFormat="1" ht="25.5">
      <c r="A66" s="521">
        <v>80140</v>
      </c>
      <c r="B66" s="541" t="s">
        <v>486</v>
      </c>
      <c r="C66" s="522" t="s">
        <v>147</v>
      </c>
      <c r="D66" s="523">
        <v>1220600</v>
      </c>
      <c r="E66" s="523">
        <f>E67+E68</f>
        <v>469250</v>
      </c>
      <c r="F66" s="523">
        <v>0</v>
      </c>
      <c r="G66" s="523">
        <f t="shared" si="0"/>
        <v>1689850</v>
      </c>
    </row>
    <row r="67" spans="1:7" s="520" customFormat="1" ht="40.5" customHeight="1">
      <c r="A67" s="521"/>
      <c r="B67" s="544">
        <v>2310</v>
      </c>
      <c r="C67" s="545" t="s">
        <v>623</v>
      </c>
      <c r="D67" s="546">
        <v>80000</v>
      </c>
      <c r="E67" s="546">
        <v>85095</v>
      </c>
      <c r="F67" s="546">
        <v>0</v>
      </c>
      <c r="G67" s="547">
        <v>165095</v>
      </c>
    </row>
    <row r="68" spans="1:7" s="527" customFormat="1" ht="42" customHeight="1">
      <c r="A68" s="529" t="s">
        <v>486</v>
      </c>
      <c r="B68" s="548">
        <v>2320</v>
      </c>
      <c r="C68" s="530" t="s">
        <v>624</v>
      </c>
      <c r="D68" s="531">
        <v>600000</v>
      </c>
      <c r="E68" s="531">
        <v>384155</v>
      </c>
      <c r="F68" s="531">
        <v>0</v>
      </c>
      <c r="G68" s="531">
        <f t="shared" si="0"/>
        <v>984155</v>
      </c>
    </row>
    <row r="69" spans="1:7" s="520" customFormat="1" ht="15" customHeight="1">
      <c r="A69" s="532">
        <v>80195</v>
      </c>
      <c r="B69" s="532" t="s">
        <v>486</v>
      </c>
      <c r="C69" s="533" t="s">
        <v>37</v>
      </c>
      <c r="D69" s="534">
        <v>800887</v>
      </c>
      <c r="E69" s="534">
        <f>E70</f>
        <v>1285</v>
      </c>
      <c r="F69" s="534">
        <v>0</v>
      </c>
      <c r="G69" s="534">
        <f t="shared" si="0"/>
        <v>802172</v>
      </c>
    </row>
    <row r="70" spans="1:7" s="527" customFormat="1" ht="67.5" customHeight="1">
      <c r="A70" s="529" t="s">
        <v>486</v>
      </c>
      <c r="B70" s="529">
        <v>2919</v>
      </c>
      <c r="C70" s="530" t="s">
        <v>603</v>
      </c>
      <c r="D70" s="531">
        <v>2508</v>
      </c>
      <c r="E70" s="531">
        <v>1285</v>
      </c>
      <c r="F70" s="531">
        <v>0</v>
      </c>
      <c r="G70" s="531">
        <f t="shared" si="0"/>
        <v>3793</v>
      </c>
    </row>
    <row r="71" spans="1:7" s="520" customFormat="1" ht="15.75" customHeight="1">
      <c r="A71" s="517" t="s">
        <v>158</v>
      </c>
      <c r="B71" s="517" t="s">
        <v>486</v>
      </c>
      <c r="C71" s="518" t="s">
        <v>159</v>
      </c>
      <c r="D71" s="519">
        <v>7407678</v>
      </c>
      <c r="E71" s="519">
        <f>E72+E74+E76</f>
        <v>1517538</v>
      </c>
      <c r="F71" s="519">
        <f>F72+F74+F76</f>
        <v>4160</v>
      </c>
      <c r="G71" s="519">
        <f t="shared" si="0"/>
        <v>8921056</v>
      </c>
    </row>
    <row r="72" spans="1:7" s="520" customFormat="1" ht="15.75" customHeight="1">
      <c r="A72" s="521">
        <v>85111</v>
      </c>
      <c r="B72" s="521" t="s">
        <v>486</v>
      </c>
      <c r="C72" s="522" t="s">
        <v>160</v>
      </c>
      <c r="D72" s="523">
        <v>7315456</v>
      </c>
      <c r="E72" s="523">
        <v>1482360</v>
      </c>
      <c r="F72" s="523">
        <v>0</v>
      </c>
      <c r="G72" s="523">
        <f t="shared" si="0"/>
        <v>8797816</v>
      </c>
    </row>
    <row r="73" spans="1:7" s="527" customFormat="1" ht="54.75" customHeight="1">
      <c r="A73" s="524" t="s">
        <v>486</v>
      </c>
      <c r="B73" s="524">
        <v>6510</v>
      </c>
      <c r="C73" s="525" t="s">
        <v>625</v>
      </c>
      <c r="D73" s="526">
        <v>4068132</v>
      </c>
      <c r="E73" s="526">
        <v>1482360</v>
      </c>
      <c r="F73" s="526">
        <v>0</v>
      </c>
      <c r="G73" s="526">
        <f t="shared" si="0"/>
        <v>5550492</v>
      </c>
    </row>
    <row r="74" spans="1:7" s="520" customFormat="1" ht="16.5" customHeight="1">
      <c r="A74" s="521">
        <v>85154</v>
      </c>
      <c r="B74" s="521" t="s">
        <v>486</v>
      </c>
      <c r="C74" s="522" t="s">
        <v>167</v>
      </c>
      <c r="D74" s="523">
        <v>40000</v>
      </c>
      <c r="E74" s="523">
        <v>0</v>
      </c>
      <c r="F74" s="523">
        <v>4160</v>
      </c>
      <c r="G74" s="523">
        <f t="shared" si="0"/>
        <v>35840</v>
      </c>
    </row>
    <row r="75" spans="1:7" s="527" customFormat="1" ht="40.5" customHeight="1">
      <c r="A75" s="524" t="s">
        <v>486</v>
      </c>
      <c r="B75" s="524">
        <v>2310</v>
      </c>
      <c r="C75" s="525" t="s">
        <v>623</v>
      </c>
      <c r="D75" s="526">
        <v>40000</v>
      </c>
      <c r="E75" s="526">
        <v>0</v>
      </c>
      <c r="F75" s="526">
        <v>4160</v>
      </c>
      <c r="G75" s="526">
        <f t="shared" si="0"/>
        <v>35840</v>
      </c>
    </row>
    <row r="76" spans="1:7" s="520" customFormat="1" ht="15.75" customHeight="1">
      <c r="A76" s="521">
        <v>85157</v>
      </c>
      <c r="B76" s="521" t="s">
        <v>486</v>
      </c>
      <c r="C76" s="522" t="s">
        <v>485</v>
      </c>
      <c r="D76" s="523">
        <v>0</v>
      </c>
      <c r="E76" s="523">
        <v>35178</v>
      </c>
      <c r="F76" s="523">
        <v>0</v>
      </c>
      <c r="G76" s="523">
        <f t="shared" si="0"/>
        <v>35178</v>
      </c>
    </row>
    <row r="77" spans="1:7" s="527" customFormat="1" ht="15.75" customHeight="1">
      <c r="A77" s="524" t="s">
        <v>486</v>
      </c>
      <c r="B77" s="524" t="s">
        <v>476</v>
      </c>
      <c r="C77" s="525" t="s">
        <v>477</v>
      </c>
      <c r="D77" s="526">
        <v>0</v>
      </c>
      <c r="E77" s="526">
        <v>35178</v>
      </c>
      <c r="F77" s="526">
        <v>0</v>
      </c>
      <c r="G77" s="526">
        <f t="shared" ref="G77:G103" si="1">D77+E77-F77</f>
        <v>35178</v>
      </c>
    </row>
    <row r="78" spans="1:7" s="520" customFormat="1" ht="18" customHeight="1">
      <c r="A78" s="517" t="s">
        <v>282</v>
      </c>
      <c r="B78" s="517" t="s">
        <v>486</v>
      </c>
      <c r="C78" s="528" t="s">
        <v>169</v>
      </c>
      <c r="D78" s="519">
        <v>23733900</v>
      </c>
      <c r="E78" s="519">
        <f>E79</f>
        <v>1771</v>
      </c>
      <c r="F78" s="519">
        <v>0</v>
      </c>
      <c r="G78" s="519">
        <f t="shared" si="1"/>
        <v>23735671</v>
      </c>
    </row>
    <row r="79" spans="1:7" s="520" customFormat="1" ht="15.75" customHeight="1">
      <c r="A79" s="521">
        <v>85295</v>
      </c>
      <c r="B79" s="521" t="s">
        <v>486</v>
      </c>
      <c r="C79" s="522" t="s">
        <v>37</v>
      </c>
      <c r="D79" s="523">
        <v>23552900</v>
      </c>
      <c r="E79" s="523">
        <f>SUM(E80:E82)</f>
        <v>1771</v>
      </c>
      <c r="F79" s="523">
        <v>0</v>
      </c>
      <c r="G79" s="523">
        <f t="shared" si="1"/>
        <v>23554671</v>
      </c>
    </row>
    <row r="80" spans="1:7" s="527" customFormat="1" ht="66.75" customHeight="1">
      <c r="A80" s="524" t="s">
        <v>486</v>
      </c>
      <c r="B80" s="524">
        <v>2919</v>
      </c>
      <c r="C80" s="525" t="s">
        <v>603</v>
      </c>
      <c r="D80" s="526">
        <v>3197</v>
      </c>
      <c r="E80" s="526">
        <v>310</v>
      </c>
      <c r="F80" s="526">
        <v>0</v>
      </c>
      <c r="G80" s="526">
        <f t="shared" si="1"/>
        <v>3507</v>
      </c>
    </row>
    <row r="81" spans="1:7" s="527" customFormat="1" ht="27" customHeight="1">
      <c r="A81" s="524" t="s">
        <v>486</v>
      </c>
      <c r="B81" s="524">
        <v>2959</v>
      </c>
      <c r="C81" s="525" t="s">
        <v>626</v>
      </c>
      <c r="D81" s="526">
        <v>16015</v>
      </c>
      <c r="E81" s="526">
        <v>287</v>
      </c>
      <c r="F81" s="526">
        <v>0</v>
      </c>
      <c r="G81" s="526">
        <f t="shared" si="1"/>
        <v>16302</v>
      </c>
    </row>
    <row r="82" spans="1:7" s="527" customFormat="1" ht="29.25" customHeight="1">
      <c r="A82" s="524" t="s">
        <v>486</v>
      </c>
      <c r="B82" s="524">
        <v>6699</v>
      </c>
      <c r="C82" s="525" t="s">
        <v>627</v>
      </c>
      <c r="D82" s="526">
        <v>0</v>
      </c>
      <c r="E82" s="526">
        <v>1174</v>
      </c>
      <c r="F82" s="526">
        <v>0</v>
      </c>
      <c r="G82" s="526">
        <f t="shared" si="1"/>
        <v>1174</v>
      </c>
    </row>
    <row r="83" spans="1:7" s="520" customFormat="1" ht="28.5" customHeight="1">
      <c r="A83" s="517" t="s">
        <v>286</v>
      </c>
      <c r="B83" s="517" t="s">
        <v>486</v>
      </c>
      <c r="C83" s="528" t="s">
        <v>174</v>
      </c>
      <c r="D83" s="519">
        <v>27339530</v>
      </c>
      <c r="E83" s="519">
        <f>E84+E86+E89</f>
        <v>141629</v>
      </c>
      <c r="F83" s="519">
        <f>F84+F86+F89</f>
        <v>111063</v>
      </c>
      <c r="G83" s="519">
        <f t="shared" si="1"/>
        <v>27370096</v>
      </c>
    </row>
    <row r="84" spans="1:7" s="520" customFormat="1" ht="33.75" customHeight="1">
      <c r="A84" s="521">
        <v>85325</v>
      </c>
      <c r="B84" s="521" t="s">
        <v>486</v>
      </c>
      <c r="C84" s="522" t="s">
        <v>177</v>
      </c>
      <c r="D84" s="523">
        <v>2005400</v>
      </c>
      <c r="E84" s="523">
        <f>E85</f>
        <v>25900</v>
      </c>
      <c r="F84" s="523">
        <f>F85</f>
        <v>0</v>
      </c>
      <c r="G84" s="523">
        <f t="shared" si="1"/>
        <v>2031300</v>
      </c>
    </row>
    <row r="85" spans="1:7" s="527" customFormat="1" ht="15" customHeight="1">
      <c r="A85" s="524" t="s">
        <v>486</v>
      </c>
      <c r="B85" s="524" t="s">
        <v>476</v>
      </c>
      <c r="C85" s="525" t="s">
        <v>477</v>
      </c>
      <c r="D85" s="526">
        <v>2005400</v>
      </c>
      <c r="E85" s="526">
        <v>25900</v>
      </c>
      <c r="F85" s="526">
        <v>0</v>
      </c>
      <c r="G85" s="526">
        <f t="shared" si="1"/>
        <v>2031300</v>
      </c>
    </row>
    <row r="86" spans="1:7" s="520" customFormat="1" ht="15" customHeight="1">
      <c r="A86" s="521">
        <v>85332</v>
      </c>
      <c r="B86" s="521" t="s">
        <v>486</v>
      </c>
      <c r="C86" s="522" t="s">
        <v>178</v>
      </c>
      <c r="D86" s="523">
        <v>5949066</v>
      </c>
      <c r="E86" s="523">
        <f>SUM(E87:E88)</f>
        <v>30467</v>
      </c>
      <c r="F86" s="523">
        <f>SUM(F87:F88)</f>
        <v>30467</v>
      </c>
      <c r="G86" s="523">
        <f t="shared" si="1"/>
        <v>5949066</v>
      </c>
    </row>
    <row r="87" spans="1:7" s="527" customFormat="1" ht="68.25" customHeight="1">
      <c r="A87" s="524" t="s">
        <v>486</v>
      </c>
      <c r="B87" s="524">
        <v>2919</v>
      </c>
      <c r="C87" s="525" t="s">
        <v>603</v>
      </c>
      <c r="D87" s="526">
        <v>30467</v>
      </c>
      <c r="E87" s="526">
        <v>0</v>
      </c>
      <c r="F87" s="526">
        <v>30467</v>
      </c>
      <c r="G87" s="526">
        <f t="shared" si="1"/>
        <v>0</v>
      </c>
    </row>
    <row r="88" spans="1:7" s="527" customFormat="1" ht="25.5">
      <c r="A88" s="524" t="s">
        <v>486</v>
      </c>
      <c r="B88" s="524">
        <v>2959</v>
      </c>
      <c r="C88" s="525" t="s">
        <v>626</v>
      </c>
      <c r="D88" s="526">
        <v>0</v>
      </c>
      <c r="E88" s="526">
        <v>30467</v>
      </c>
      <c r="F88" s="526">
        <v>0</v>
      </c>
      <c r="G88" s="526">
        <f t="shared" si="1"/>
        <v>30467</v>
      </c>
    </row>
    <row r="89" spans="1:7" s="520" customFormat="1" ht="16.5" customHeight="1">
      <c r="A89" s="521">
        <v>85395</v>
      </c>
      <c r="B89" s="521" t="s">
        <v>486</v>
      </c>
      <c r="C89" s="522" t="s">
        <v>37</v>
      </c>
      <c r="D89" s="523">
        <v>19012182</v>
      </c>
      <c r="E89" s="523">
        <f>SUM(E90:E91)</f>
        <v>85262</v>
      </c>
      <c r="F89" s="523">
        <f>SUM(F90:F91)</f>
        <v>80596</v>
      </c>
      <c r="G89" s="523">
        <f t="shared" si="1"/>
        <v>19016848</v>
      </c>
    </row>
    <row r="90" spans="1:7" s="527" customFormat="1" ht="68.25" customHeight="1">
      <c r="A90" s="524" t="s">
        <v>486</v>
      </c>
      <c r="B90" s="524">
        <v>2919</v>
      </c>
      <c r="C90" s="525" t="s">
        <v>603</v>
      </c>
      <c r="D90" s="526">
        <v>137561</v>
      </c>
      <c r="E90" s="526">
        <v>0</v>
      </c>
      <c r="F90" s="526">
        <v>80596</v>
      </c>
      <c r="G90" s="526">
        <f t="shared" si="1"/>
        <v>56965</v>
      </c>
    </row>
    <row r="91" spans="1:7" s="527" customFormat="1" ht="29.25" customHeight="1">
      <c r="A91" s="524" t="s">
        <v>486</v>
      </c>
      <c r="B91" s="524">
        <v>2959</v>
      </c>
      <c r="C91" s="525" t="s">
        <v>626</v>
      </c>
      <c r="D91" s="526">
        <v>0</v>
      </c>
      <c r="E91" s="526">
        <v>85262</v>
      </c>
      <c r="F91" s="526">
        <v>0</v>
      </c>
      <c r="G91" s="526">
        <f t="shared" si="1"/>
        <v>85262</v>
      </c>
    </row>
    <row r="92" spans="1:7" s="520" customFormat="1" ht="20.25" customHeight="1">
      <c r="A92" s="517" t="s">
        <v>290</v>
      </c>
      <c r="B92" s="517" t="s">
        <v>486</v>
      </c>
      <c r="C92" s="518" t="s">
        <v>291</v>
      </c>
      <c r="D92" s="519">
        <v>6320</v>
      </c>
      <c r="E92" s="519">
        <f>E93</f>
        <v>19000</v>
      </c>
      <c r="F92" s="519">
        <f>F93</f>
        <v>0</v>
      </c>
      <c r="G92" s="519">
        <f t="shared" si="1"/>
        <v>25320</v>
      </c>
    </row>
    <row r="93" spans="1:7" s="520" customFormat="1" ht="17.25" customHeight="1">
      <c r="A93" s="521">
        <v>85403</v>
      </c>
      <c r="B93" s="521" t="s">
        <v>486</v>
      </c>
      <c r="C93" s="522" t="s">
        <v>180</v>
      </c>
      <c r="D93" s="523">
        <v>5700</v>
      </c>
      <c r="E93" s="523">
        <f>E94</f>
        <v>19000</v>
      </c>
      <c r="F93" s="523">
        <f>F94</f>
        <v>0</v>
      </c>
      <c r="G93" s="523">
        <f t="shared" si="1"/>
        <v>24700</v>
      </c>
    </row>
    <row r="94" spans="1:7" s="527" customFormat="1" ht="17.25" customHeight="1">
      <c r="A94" s="524" t="s">
        <v>486</v>
      </c>
      <c r="B94" s="524" t="s">
        <v>476</v>
      </c>
      <c r="C94" s="525" t="s">
        <v>477</v>
      </c>
      <c r="D94" s="526">
        <v>5700</v>
      </c>
      <c r="E94" s="526">
        <v>19000</v>
      </c>
      <c r="F94" s="526">
        <v>0</v>
      </c>
      <c r="G94" s="526">
        <f t="shared" si="1"/>
        <v>24700</v>
      </c>
    </row>
    <row r="95" spans="1:7" s="520" customFormat="1" ht="28.5" customHeight="1">
      <c r="A95" s="517" t="s">
        <v>388</v>
      </c>
      <c r="B95" s="517" t="s">
        <v>486</v>
      </c>
      <c r="C95" s="528" t="s">
        <v>188</v>
      </c>
      <c r="D95" s="519">
        <v>3833652</v>
      </c>
      <c r="E95" s="519">
        <f>E96</f>
        <v>0</v>
      </c>
      <c r="F95" s="519">
        <f>F96</f>
        <v>50000</v>
      </c>
      <c r="G95" s="519">
        <f t="shared" si="1"/>
        <v>3783652</v>
      </c>
    </row>
    <row r="96" spans="1:7" s="520" customFormat="1" ht="34.5" customHeight="1">
      <c r="A96" s="521">
        <v>90026</v>
      </c>
      <c r="B96" s="521" t="s">
        <v>486</v>
      </c>
      <c r="C96" s="522" t="s">
        <v>196</v>
      </c>
      <c r="D96" s="523">
        <v>200300</v>
      </c>
      <c r="E96" s="523">
        <f>E97</f>
        <v>0</v>
      </c>
      <c r="F96" s="523">
        <f>F97</f>
        <v>50000</v>
      </c>
      <c r="G96" s="523">
        <f t="shared" si="1"/>
        <v>150300</v>
      </c>
    </row>
    <row r="97" spans="1:7" s="527" customFormat="1" ht="20.25" customHeight="1">
      <c r="A97" s="529" t="s">
        <v>486</v>
      </c>
      <c r="B97" s="529" t="s">
        <v>628</v>
      </c>
      <c r="C97" s="530" t="s">
        <v>629</v>
      </c>
      <c r="D97" s="531">
        <v>200300</v>
      </c>
      <c r="E97" s="531">
        <v>0</v>
      </c>
      <c r="F97" s="531">
        <v>50000</v>
      </c>
      <c r="G97" s="531">
        <f t="shared" si="1"/>
        <v>150300</v>
      </c>
    </row>
    <row r="98" spans="1:7" s="520" customFormat="1" ht="29.25" customHeight="1">
      <c r="A98" s="517" t="s">
        <v>300</v>
      </c>
      <c r="B98" s="517" t="s">
        <v>486</v>
      </c>
      <c r="C98" s="528" t="s">
        <v>197</v>
      </c>
      <c r="D98" s="519">
        <v>18436654</v>
      </c>
      <c r="E98" s="519">
        <f>E99</f>
        <v>0</v>
      </c>
      <c r="F98" s="519">
        <f>F99</f>
        <v>8960179</v>
      </c>
      <c r="G98" s="519">
        <f t="shared" si="1"/>
        <v>9476475</v>
      </c>
    </row>
    <row r="99" spans="1:7" s="520" customFormat="1" ht="19.5" customHeight="1">
      <c r="A99" s="517">
        <v>92195</v>
      </c>
      <c r="B99" s="517" t="s">
        <v>486</v>
      </c>
      <c r="C99" s="518" t="s">
        <v>37</v>
      </c>
      <c r="D99" s="519">
        <v>14445158</v>
      </c>
      <c r="E99" s="519">
        <f>E100</f>
        <v>0</v>
      </c>
      <c r="F99" s="519">
        <f>F100</f>
        <v>8960179</v>
      </c>
      <c r="G99" s="519">
        <f t="shared" si="1"/>
        <v>5484979</v>
      </c>
    </row>
    <row r="100" spans="1:7" s="527" customFormat="1" ht="79.5" customHeight="1">
      <c r="A100" s="549" t="s">
        <v>486</v>
      </c>
      <c r="B100" s="549">
        <v>6257</v>
      </c>
      <c r="C100" s="550" t="s">
        <v>538</v>
      </c>
      <c r="D100" s="551">
        <v>14205301</v>
      </c>
      <c r="E100" s="551">
        <v>0</v>
      </c>
      <c r="F100" s="551">
        <v>8960179</v>
      </c>
      <c r="G100" s="551">
        <f t="shared" si="1"/>
        <v>5245122</v>
      </c>
    </row>
    <row r="101" spans="1:7" s="520" customFormat="1" ht="39" customHeight="1">
      <c r="A101" s="517" t="s">
        <v>335</v>
      </c>
      <c r="B101" s="517" t="s">
        <v>486</v>
      </c>
      <c r="C101" s="528" t="s">
        <v>207</v>
      </c>
      <c r="D101" s="519">
        <v>3346187</v>
      </c>
      <c r="E101" s="519">
        <f>E102</f>
        <v>37352</v>
      </c>
      <c r="F101" s="519">
        <f>F102</f>
        <v>0</v>
      </c>
      <c r="G101" s="519">
        <f t="shared" si="1"/>
        <v>3383539</v>
      </c>
    </row>
    <row r="102" spans="1:7" s="520" customFormat="1" ht="15.75" customHeight="1">
      <c r="A102" s="521">
        <v>92502</v>
      </c>
      <c r="B102" s="521" t="s">
        <v>486</v>
      </c>
      <c r="C102" s="522" t="s">
        <v>208</v>
      </c>
      <c r="D102" s="523">
        <v>3346187</v>
      </c>
      <c r="E102" s="523">
        <f>E103</f>
        <v>37352</v>
      </c>
      <c r="F102" s="523">
        <f>F103</f>
        <v>0</v>
      </c>
      <c r="G102" s="523">
        <f t="shared" si="1"/>
        <v>3383539</v>
      </c>
    </row>
    <row r="103" spans="1:7" s="527" customFormat="1" ht="15.75" customHeight="1">
      <c r="A103" s="529" t="s">
        <v>486</v>
      </c>
      <c r="B103" s="529" t="s">
        <v>476</v>
      </c>
      <c r="C103" s="530" t="s">
        <v>477</v>
      </c>
      <c r="D103" s="531">
        <v>165594</v>
      </c>
      <c r="E103" s="531">
        <v>37352</v>
      </c>
      <c r="F103" s="531">
        <v>0</v>
      </c>
      <c r="G103" s="531">
        <f t="shared" si="1"/>
        <v>202946</v>
      </c>
    </row>
    <row r="104" spans="1:7" s="527" customFormat="1">
      <c r="A104" s="543"/>
      <c r="B104" s="501"/>
    </row>
    <row r="105" spans="1:7" s="527" customFormat="1">
      <c r="A105" s="543"/>
      <c r="B105" s="501"/>
    </row>
  </sheetData>
  <sheetProtection password="C25B" sheet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0"/>
  <sheetViews>
    <sheetView view="pageBreakPreview" topLeftCell="A390" zoomScaleNormal="100" zoomScaleSheetLayoutView="100" workbookViewId="0">
      <selection sqref="A1:P430"/>
    </sheetView>
  </sheetViews>
  <sheetFormatPr defaultColWidth="8.875" defaultRowHeight="12.75"/>
  <cols>
    <col min="1" max="1" width="6.875" style="1" customWidth="1"/>
    <col min="2" max="2" width="31.375" style="2" customWidth="1"/>
    <col min="3" max="3" width="2.875" style="1" customWidth="1"/>
    <col min="4" max="4" width="14.75" style="3" customWidth="1"/>
    <col min="5" max="5" width="13.25" style="2" customWidth="1"/>
    <col min="6" max="6" width="13.5" style="2" customWidth="1"/>
    <col min="7" max="7" width="13.625" style="2" customWidth="1"/>
    <col min="8" max="8" width="13.25" style="2" customWidth="1"/>
    <col min="9" max="9" width="13.75" style="2" customWidth="1"/>
    <col min="10" max="10" width="11.875" style="2" customWidth="1"/>
    <col min="11" max="11" width="13.25" style="2" customWidth="1"/>
    <col min="12" max="12" width="12.875" style="2" customWidth="1"/>
    <col min="13" max="13" width="13.25" style="2" customWidth="1"/>
    <col min="14" max="14" width="13.375" style="2" customWidth="1"/>
    <col min="15" max="15" width="13.5" style="2" customWidth="1"/>
    <col min="16" max="16" width="13.375" style="2" customWidth="1"/>
    <col min="17" max="16384" width="8.875" style="2"/>
  </cols>
  <sheetData>
    <row r="1" spans="1:21">
      <c r="M1" s="4" t="s">
        <v>0</v>
      </c>
      <c r="N1" s="4"/>
    </row>
    <row r="2" spans="1:21">
      <c r="M2" s="5" t="s">
        <v>631</v>
      </c>
      <c r="N2" s="5"/>
    </row>
    <row r="3" spans="1:21">
      <c r="D3" s="6"/>
      <c r="E3" s="7"/>
      <c r="F3" s="7"/>
      <c r="G3" s="7"/>
      <c r="H3" s="7"/>
      <c r="I3" s="7"/>
      <c r="J3" s="7"/>
      <c r="K3" s="7"/>
      <c r="L3" s="7"/>
      <c r="M3" s="5" t="s">
        <v>632</v>
      </c>
      <c r="N3" s="5"/>
      <c r="O3" s="7"/>
    </row>
    <row r="4" spans="1:21" ht="9" customHeight="1"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1" s="8" customFormat="1" ht="28.15" customHeight="1">
      <c r="A5" s="1076" t="s">
        <v>1</v>
      </c>
      <c r="B5" s="1076"/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</row>
    <row r="6" spans="1:21">
      <c r="O6" s="2" t="s">
        <v>2</v>
      </c>
    </row>
    <row r="7" spans="1:21" s="10" customFormat="1" ht="16.5" customHeight="1">
      <c r="A7" s="1074" t="s">
        <v>3</v>
      </c>
      <c r="B7" s="1074" t="s">
        <v>4</v>
      </c>
      <c r="C7" s="1077" t="s">
        <v>5</v>
      </c>
      <c r="D7" s="1078" t="s">
        <v>6</v>
      </c>
      <c r="E7" s="1077" t="s">
        <v>7</v>
      </c>
      <c r="F7" s="1077"/>
      <c r="G7" s="1077"/>
      <c r="H7" s="1077"/>
      <c r="I7" s="1077"/>
      <c r="J7" s="1077"/>
      <c r="K7" s="1077"/>
      <c r="L7" s="1077"/>
      <c r="M7" s="1077"/>
      <c r="N7" s="1077"/>
      <c r="O7" s="1077"/>
      <c r="P7" s="1077"/>
    </row>
    <row r="8" spans="1:21" s="10" customFormat="1" ht="14.25" customHeight="1">
      <c r="A8" s="1074"/>
      <c r="B8" s="1074"/>
      <c r="C8" s="1077"/>
      <c r="D8" s="1078"/>
      <c r="E8" s="1074" t="s">
        <v>8</v>
      </c>
      <c r="F8" s="1075" t="s">
        <v>9</v>
      </c>
      <c r="G8" s="1075"/>
      <c r="H8" s="1075"/>
      <c r="I8" s="1075"/>
      <c r="J8" s="1075"/>
      <c r="K8" s="1075"/>
      <c r="L8" s="1075"/>
      <c r="M8" s="1074" t="s">
        <v>10</v>
      </c>
      <c r="N8" s="1075" t="s">
        <v>9</v>
      </c>
      <c r="O8" s="1075"/>
      <c r="P8" s="1075"/>
    </row>
    <row r="9" spans="1:21" s="10" customFormat="1" ht="14.25" customHeight="1">
      <c r="A9" s="1074"/>
      <c r="B9" s="1074"/>
      <c r="C9" s="1077"/>
      <c r="D9" s="1078"/>
      <c r="E9" s="1074"/>
      <c r="F9" s="1074" t="s">
        <v>11</v>
      </c>
      <c r="G9" s="1075" t="s">
        <v>9</v>
      </c>
      <c r="H9" s="1075"/>
      <c r="I9" s="1074" t="s">
        <v>12</v>
      </c>
      <c r="J9" s="1074" t="s">
        <v>13</v>
      </c>
      <c r="K9" s="1074" t="s">
        <v>14</v>
      </c>
      <c r="L9" s="1074" t="s">
        <v>15</v>
      </c>
      <c r="M9" s="1074"/>
      <c r="N9" s="1074" t="s">
        <v>16</v>
      </c>
      <c r="O9" s="9" t="s">
        <v>9</v>
      </c>
      <c r="P9" s="1074" t="s">
        <v>17</v>
      </c>
    </row>
    <row r="10" spans="1:21" s="10" customFormat="1" ht="69" customHeight="1">
      <c r="A10" s="1074"/>
      <c r="B10" s="1074"/>
      <c r="C10" s="1077"/>
      <c r="D10" s="1078"/>
      <c r="E10" s="1074"/>
      <c r="F10" s="1074"/>
      <c r="G10" s="9" t="s">
        <v>18</v>
      </c>
      <c r="H10" s="9" t="s">
        <v>19</v>
      </c>
      <c r="I10" s="1074"/>
      <c r="J10" s="1074"/>
      <c r="K10" s="1074"/>
      <c r="L10" s="1074"/>
      <c r="M10" s="1074"/>
      <c r="N10" s="1074"/>
      <c r="O10" s="9" t="s">
        <v>14</v>
      </c>
      <c r="P10" s="1074"/>
    </row>
    <row r="11" spans="1:21" s="13" customFormat="1">
      <c r="A11" s="11">
        <v>1</v>
      </c>
      <c r="B11" s="11">
        <v>2</v>
      </c>
      <c r="C11" s="11"/>
      <c r="D11" s="12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</row>
    <row r="12" spans="1:21" s="19" customFormat="1">
      <c r="A12" s="14"/>
      <c r="B12" s="15"/>
      <c r="C12" s="16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1" s="23" customFormat="1" ht="15.6" customHeight="1">
      <c r="A13" s="1072"/>
      <c r="B13" s="1073" t="s">
        <v>20</v>
      </c>
      <c r="C13" s="20" t="s">
        <v>21</v>
      </c>
      <c r="D13" s="21">
        <f t="shared" ref="D13:P13" si="0">D17+D38+D50+D62+D68+D98+D107+D113+D131+D146+D167+D173+D179+D188+D194+D239+D275+D293+D311+D338+D347+D377+D410+D416+D137</f>
        <v>1312565801.3699999</v>
      </c>
      <c r="E13" s="21">
        <f t="shared" si="0"/>
        <v>838439061.37</v>
      </c>
      <c r="F13" s="21">
        <f t="shared" si="0"/>
        <v>281284315.37</v>
      </c>
      <c r="G13" s="21">
        <f t="shared" si="0"/>
        <v>156586091.03</v>
      </c>
      <c r="H13" s="21">
        <f t="shared" si="0"/>
        <v>124698224.34</v>
      </c>
      <c r="I13" s="21">
        <f t="shared" si="0"/>
        <v>244355935</v>
      </c>
      <c r="J13" s="21">
        <f t="shared" si="0"/>
        <v>3138728</v>
      </c>
      <c r="K13" s="21">
        <f t="shared" si="0"/>
        <v>287763849</v>
      </c>
      <c r="L13" s="21">
        <f t="shared" si="0"/>
        <v>21896234</v>
      </c>
      <c r="M13" s="21">
        <f t="shared" si="0"/>
        <v>474126740</v>
      </c>
      <c r="N13" s="21">
        <f t="shared" si="0"/>
        <v>409864534</v>
      </c>
      <c r="O13" s="21">
        <f t="shared" si="0"/>
        <v>265247845</v>
      </c>
      <c r="P13" s="21">
        <f t="shared" si="0"/>
        <v>64262206</v>
      </c>
      <c r="Q13" s="22"/>
      <c r="R13" s="22"/>
      <c r="S13" s="22"/>
      <c r="T13" s="22"/>
      <c r="U13" s="22"/>
    </row>
    <row r="14" spans="1:21" s="23" customFormat="1" ht="15.75">
      <c r="A14" s="1072"/>
      <c r="B14" s="1073"/>
      <c r="C14" s="20" t="s">
        <v>22</v>
      </c>
      <c r="D14" s="21">
        <f t="shared" ref="D14:P14" si="1">D18+D39+D51+D63+D69+D99+D108+D114+D132+D147+D168+D174+D180+D189+D195+D240+D276+D294+D312+D339+D348+D378+D411+D417+D138</f>
        <v>-103220364.28999999</v>
      </c>
      <c r="E14" s="21">
        <f t="shared" si="1"/>
        <v>-53279151.289999999</v>
      </c>
      <c r="F14" s="21">
        <f t="shared" si="1"/>
        <v>-7501093.29</v>
      </c>
      <c r="G14" s="21">
        <f t="shared" si="1"/>
        <v>-6544001</v>
      </c>
      <c r="H14" s="21">
        <f t="shared" si="1"/>
        <v>-957092.29</v>
      </c>
      <c r="I14" s="21">
        <f t="shared" si="1"/>
        <v>-179707</v>
      </c>
      <c r="J14" s="21">
        <f t="shared" si="1"/>
        <v>131762</v>
      </c>
      <c r="K14" s="21">
        <f t="shared" si="1"/>
        <v>-28369349</v>
      </c>
      <c r="L14" s="21">
        <f t="shared" si="1"/>
        <v>-17360764</v>
      </c>
      <c r="M14" s="21">
        <f t="shared" si="1"/>
        <v>-49941213</v>
      </c>
      <c r="N14" s="21">
        <f t="shared" si="1"/>
        <v>-98191213</v>
      </c>
      <c r="O14" s="21">
        <f t="shared" si="1"/>
        <v>-92646004</v>
      </c>
      <c r="P14" s="21">
        <f t="shared" si="1"/>
        <v>48250000</v>
      </c>
      <c r="Q14" s="22"/>
      <c r="R14" s="22"/>
      <c r="S14" s="22"/>
      <c r="T14" s="22"/>
      <c r="U14" s="22"/>
    </row>
    <row r="15" spans="1:21" s="23" customFormat="1" ht="15.75">
      <c r="A15" s="1072"/>
      <c r="B15" s="1073"/>
      <c r="C15" s="20" t="s">
        <v>23</v>
      </c>
      <c r="D15" s="21">
        <f t="shared" ref="D15:P15" si="2">D13+D14</f>
        <v>1209345437.0799999</v>
      </c>
      <c r="E15" s="21">
        <f t="shared" si="2"/>
        <v>785159910.08000004</v>
      </c>
      <c r="F15" s="21">
        <f t="shared" si="2"/>
        <v>273783222.07999998</v>
      </c>
      <c r="G15" s="21">
        <f t="shared" si="2"/>
        <v>150042090.03</v>
      </c>
      <c r="H15" s="21">
        <f t="shared" si="2"/>
        <v>123741132.05</v>
      </c>
      <c r="I15" s="21">
        <f t="shared" si="2"/>
        <v>244176228</v>
      </c>
      <c r="J15" s="21">
        <f t="shared" si="2"/>
        <v>3270490</v>
      </c>
      <c r="K15" s="21">
        <f t="shared" si="2"/>
        <v>259394500</v>
      </c>
      <c r="L15" s="21">
        <f t="shared" si="2"/>
        <v>4535470</v>
      </c>
      <c r="M15" s="21">
        <f t="shared" si="2"/>
        <v>424185527</v>
      </c>
      <c r="N15" s="21">
        <f t="shared" si="2"/>
        <v>311673321</v>
      </c>
      <c r="O15" s="21">
        <f t="shared" si="2"/>
        <v>172601841</v>
      </c>
      <c r="P15" s="21">
        <f t="shared" si="2"/>
        <v>112512206</v>
      </c>
      <c r="Q15" s="22"/>
      <c r="R15" s="22"/>
      <c r="S15" s="22"/>
      <c r="T15" s="22"/>
      <c r="U15" s="22"/>
    </row>
    <row r="16" spans="1:21" s="19" customFormat="1">
      <c r="A16" s="24"/>
      <c r="B16" s="25"/>
      <c r="C16" s="26"/>
      <c r="D16" s="1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28"/>
      <c r="S16" s="28"/>
      <c r="T16" s="28"/>
      <c r="U16" s="28"/>
    </row>
    <row r="17" spans="1:21" s="34" customFormat="1" ht="13.9" customHeight="1">
      <c r="A17" s="1071" t="s">
        <v>24</v>
      </c>
      <c r="B17" s="1063" t="s">
        <v>25</v>
      </c>
      <c r="C17" s="29" t="s">
        <v>21</v>
      </c>
      <c r="D17" s="30">
        <f t="shared" ref="D17:P17" si="3">D26+D29+D32+D35+D20+D23</f>
        <v>14274880.359999999</v>
      </c>
      <c r="E17" s="31">
        <f t="shared" si="3"/>
        <v>8272380.3600000003</v>
      </c>
      <c r="F17" s="31">
        <f t="shared" si="3"/>
        <v>1173821.3599999999</v>
      </c>
      <c r="G17" s="31">
        <f t="shared" si="3"/>
        <v>528000</v>
      </c>
      <c r="H17" s="31">
        <f t="shared" si="3"/>
        <v>645821.36</v>
      </c>
      <c r="I17" s="31">
        <f t="shared" si="3"/>
        <v>1358000</v>
      </c>
      <c r="J17" s="31">
        <f t="shared" si="3"/>
        <v>0</v>
      </c>
      <c r="K17" s="31">
        <f t="shared" si="3"/>
        <v>5740559</v>
      </c>
      <c r="L17" s="31">
        <f t="shared" si="3"/>
        <v>0</v>
      </c>
      <c r="M17" s="31">
        <f t="shared" si="3"/>
        <v>6002500</v>
      </c>
      <c r="N17" s="31">
        <f t="shared" si="3"/>
        <v>6002500</v>
      </c>
      <c r="O17" s="31">
        <f t="shared" si="3"/>
        <v>0</v>
      </c>
      <c r="P17" s="31">
        <f t="shared" si="3"/>
        <v>0</v>
      </c>
      <c r="Q17" s="32"/>
      <c r="R17" s="32"/>
      <c r="S17" s="33"/>
      <c r="T17" s="33"/>
      <c r="U17" s="33"/>
    </row>
    <row r="18" spans="1:21" s="34" customFormat="1" ht="14.25">
      <c r="A18" s="1071"/>
      <c r="B18" s="1063"/>
      <c r="C18" s="29" t="s">
        <v>22</v>
      </c>
      <c r="D18" s="30">
        <f t="shared" ref="D18:P18" si="4">D27+D30+D33+D36+D21+D24</f>
        <v>-57092.29</v>
      </c>
      <c r="E18" s="31">
        <f t="shared" si="4"/>
        <v>-57092.29</v>
      </c>
      <c r="F18" s="31">
        <f t="shared" si="4"/>
        <v>-57092.29</v>
      </c>
      <c r="G18" s="31">
        <f t="shared" si="4"/>
        <v>0</v>
      </c>
      <c r="H18" s="31">
        <f t="shared" si="4"/>
        <v>-57092.29</v>
      </c>
      <c r="I18" s="31">
        <f t="shared" si="4"/>
        <v>0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31">
        <f t="shared" si="4"/>
        <v>0</v>
      </c>
      <c r="O18" s="31">
        <f t="shared" si="4"/>
        <v>0</v>
      </c>
      <c r="P18" s="31">
        <f t="shared" si="4"/>
        <v>0</v>
      </c>
      <c r="Q18" s="32"/>
      <c r="R18" s="32"/>
      <c r="S18" s="33"/>
      <c r="T18" s="33"/>
      <c r="U18" s="33"/>
    </row>
    <row r="19" spans="1:21" s="34" customFormat="1" ht="14.25">
      <c r="A19" s="1071"/>
      <c r="B19" s="1063"/>
      <c r="C19" s="29" t="s">
        <v>23</v>
      </c>
      <c r="D19" s="30">
        <f t="shared" ref="D19:P19" si="5">D17+D18</f>
        <v>14217788.07</v>
      </c>
      <c r="E19" s="31">
        <f t="shared" si="5"/>
        <v>8215288.0700000003</v>
      </c>
      <c r="F19" s="31">
        <f t="shared" si="5"/>
        <v>1116729.0699999998</v>
      </c>
      <c r="G19" s="31">
        <f t="shared" si="5"/>
        <v>528000</v>
      </c>
      <c r="H19" s="31">
        <f t="shared" si="5"/>
        <v>588729.06999999995</v>
      </c>
      <c r="I19" s="31">
        <f t="shared" si="5"/>
        <v>1358000</v>
      </c>
      <c r="J19" s="31">
        <f t="shared" si="5"/>
        <v>0</v>
      </c>
      <c r="K19" s="31">
        <f t="shared" si="5"/>
        <v>5740559</v>
      </c>
      <c r="L19" s="31">
        <f t="shared" si="5"/>
        <v>0</v>
      </c>
      <c r="M19" s="31">
        <f t="shared" si="5"/>
        <v>6002500</v>
      </c>
      <c r="N19" s="31">
        <f t="shared" si="5"/>
        <v>6002500</v>
      </c>
      <c r="O19" s="31">
        <f t="shared" si="5"/>
        <v>0</v>
      </c>
      <c r="P19" s="31">
        <f t="shared" si="5"/>
        <v>0</v>
      </c>
      <c r="Q19" s="32"/>
      <c r="R19" s="32"/>
      <c r="S19" s="33"/>
      <c r="T19" s="33"/>
      <c r="U19" s="33"/>
    </row>
    <row r="20" spans="1:21" s="19" customFormat="1" ht="13.15" hidden="1" customHeight="1">
      <c r="A20" s="1067" t="s">
        <v>26</v>
      </c>
      <c r="B20" s="1065" t="s">
        <v>27</v>
      </c>
      <c r="C20" s="26" t="s">
        <v>21</v>
      </c>
      <c r="D20" s="17">
        <f>E20+M20</f>
        <v>151158</v>
      </c>
      <c r="E20" s="27">
        <f>F20+I20+J20+K20+L20</f>
        <v>151158</v>
      </c>
      <c r="F20" s="27">
        <f>G20+H20</f>
        <v>151158</v>
      </c>
      <c r="G20" s="27">
        <v>0</v>
      </c>
      <c r="H20" s="27">
        <v>151158</v>
      </c>
      <c r="I20" s="27">
        <v>0</v>
      </c>
      <c r="J20" s="27">
        <v>0</v>
      </c>
      <c r="K20" s="27">
        <v>0</v>
      </c>
      <c r="L20" s="27">
        <v>0</v>
      </c>
      <c r="M20" s="27">
        <f>N20+P20</f>
        <v>0</v>
      </c>
      <c r="N20" s="27">
        <v>0</v>
      </c>
      <c r="O20" s="27">
        <v>0</v>
      </c>
      <c r="P20" s="27">
        <v>0</v>
      </c>
      <c r="Q20" s="35"/>
      <c r="R20" s="35"/>
      <c r="S20" s="28"/>
      <c r="T20" s="28"/>
      <c r="U20" s="28"/>
    </row>
    <row r="21" spans="1:21" s="19" customFormat="1" hidden="1">
      <c r="A21" s="1067"/>
      <c r="B21" s="1065"/>
      <c r="C21" s="26" t="s">
        <v>22</v>
      </c>
      <c r="D21" s="17">
        <f>E21+M21</f>
        <v>0</v>
      </c>
      <c r="E21" s="27">
        <f>F21+I21+J21+K21+L21</f>
        <v>0</v>
      </c>
      <c r="F21" s="27">
        <f>G21+H21</f>
        <v>0</v>
      </c>
      <c r="G21" s="27"/>
      <c r="H21" s="27"/>
      <c r="I21" s="27"/>
      <c r="J21" s="27"/>
      <c r="K21" s="27"/>
      <c r="L21" s="27"/>
      <c r="M21" s="27">
        <f>N21+P21</f>
        <v>0</v>
      </c>
      <c r="N21" s="27"/>
      <c r="O21" s="27"/>
      <c r="P21" s="27"/>
      <c r="Q21" s="35"/>
      <c r="R21" s="35"/>
      <c r="S21" s="28"/>
      <c r="T21" s="28"/>
      <c r="U21" s="28"/>
    </row>
    <row r="22" spans="1:21" s="19" customFormat="1" hidden="1">
      <c r="A22" s="1067"/>
      <c r="B22" s="1065"/>
      <c r="C22" s="26" t="s">
        <v>23</v>
      </c>
      <c r="D22" s="17">
        <f t="shared" ref="D22:P22" si="6">D20+D21</f>
        <v>151158</v>
      </c>
      <c r="E22" s="27">
        <f t="shared" si="6"/>
        <v>151158</v>
      </c>
      <c r="F22" s="27">
        <f t="shared" si="6"/>
        <v>151158</v>
      </c>
      <c r="G22" s="27">
        <f t="shared" si="6"/>
        <v>0</v>
      </c>
      <c r="H22" s="27">
        <f t="shared" si="6"/>
        <v>151158</v>
      </c>
      <c r="I22" s="27">
        <f t="shared" si="6"/>
        <v>0</v>
      </c>
      <c r="J22" s="27">
        <f t="shared" si="6"/>
        <v>0</v>
      </c>
      <c r="K22" s="27">
        <f t="shared" si="6"/>
        <v>0</v>
      </c>
      <c r="L22" s="27">
        <f t="shared" si="6"/>
        <v>0</v>
      </c>
      <c r="M22" s="27">
        <f t="shared" si="6"/>
        <v>0</v>
      </c>
      <c r="N22" s="27">
        <f t="shared" si="6"/>
        <v>0</v>
      </c>
      <c r="O22" s="27">
        <f t="shared" si="6"/>
        <v>0</v>
      </c>
      <c r="P22" s="27">
        <f t="shared" si="6"/>
        <v>0</v>
      </c>
      <c r="Q22" s="35"/>
      <c r="R22" s="35"/>
      <c r="S22" s="28"/>
      <c r="T22" s="28"/>
      <c r="U22" s="28"/>
    </row>
    <row r="23" spans="1:21" s="19" customFormat="1" ht="13.15" hidden="1" customHeight="1">
      <c r="A23" s="1067" t="s">
        <v>28</v>
      </c>
      <c r="B23" s="1065" t="s">
        <v>29</v>
      </c>
      <c r="C23" s="26" t="s">
        <v>21</v>
      </c>
      <c r="D23" s="17">
        <f>E23+M23</f>
        <v>140559</v>
      </c>
      <c r="E23" s="27">
        <f>F23+I23+J23+K23+L23</f>
        <v>140559</v>
      </c>
      <c r="F23" s="27">
        <f>G23+H23</f>
        <v>0</v>
      </c>
      <c r="G23" s="27">
        <v>0</v>
      </c>
      <c r="H23" s="27">
        <v>0</v>
      </c>
      <c r="I23" s="27">
        <v>0</v>
      </c>
      <c r="J23" s="27">
        <v>0</v>
      </c>
      <c r="K23" s="27">
        <v>140559</v>
      </c>
      <c r="L23" s="27">
        <v>0</v>
      </c>
      <c r="M23" s="27">
        <f>N23+P23</f>
        <v>0</v>
      </c>
      <c r="N23" s="27">
        <v>0</v>
      </c>
      <c r="O23" s="27">
        <v>0</v>
      </c>
      <c r="P23" s="27">
        <v>0</v>
      </c>
      <c r="Q23" s="35"/>
      <c r="R23" s="35"/>
      <c r="S23" s="28"/>
      <c r="T23" s="28"/>
      <c r="U23" s="28"/>
    </row>
    <row r="24" spans="1:21" s="19" customFormat="1" hidden="1">
      <c r="A24" s="1067"/>
      <c r="B24" s="1065"/>
      <c r="C24" s="26" t="s">
        <v>22</v>
      </c>
      <c r="D24" s="17">
        <f>E24+M24</f>
        <v>0</v>
      </c>
      <c r="E24" s="27">
        <f>F24+I24+J24+K24+L24</f>
        <v>0</v>
      </c>
      <c r="F24" s="27">
        <f>G24+H24</f>
        <v>0</v>
      </c>
      <c r="G24" s="27"/>
      <c r="H24" s="27"/>
      <c r="I24" s="27"/>
      <c r="J24" s="27"/>
      <c r="K24" s="27"/>
      <c r="L24" s="27"/>
      <c r="M24" s="27">
        <f>N24+P24</f>
        <v>0</v>
      </c>
      <c r="N24" s="27"/>
      <c r="O24" s="27"/>
      <c r="P24" s="27"/>
      <c r="Q24" s="35"/>
      <c r="R24" s="35"/>
      <c r="S24" s="28"/>
      <c r="T24" s="28"/>
      <c r="U24" s="28"/>
    </row>
    <row r="25" spans="1:21" s="19" customFormat="1" hidden="1">
      <c r="A25" s="1067"/>
      <c r="B25" s="1065"/>
      <c r="C25" s="26" t="s">
        <v>23</v>
      </c>
      <c r="D25" s="17">
        <f t="shared" ref="D25:P25" si="7">D23+D24</f>
        <v>140559</v>
      </c>
      <c r="E25" s="27">
        <f t="shared" si="7"/>
        <v>140559</v>
      </c>
      <c r="F25" s="27">
        <f t="shared" si="7"/>
        <v>0</v>
      </c>
      <c r="G25" s="27">
        <f t="shared" si="7"/>
        <v>0</v>
      </c>
      <c r="H25" s="27">
        <f t="shared" si="7"/>
        <v>0</v>
      </c>
      <c r="I25" s="27">
        <f t="shared" si="7"/>
        <v>0</v>
      </c>
      <c r="J25" s="27">
        <f t="shared" si="7"/>
        <v>0</v>
      </c>
      <c r="K25" s="27">
        <f t="shared" si="7"/>
        <v>140559</v>
      </c>
      <c r="L25" s="27">
        <f t="shared" si="7"/>
        <v>0</v>
      </c>
      <c r="M25" s="27">
        <f t="shared" si="7"/>
        <v>0</v>
      </c>
      <c r="N25" s="27">
        <f t="shared" si="7"/>
        <v>0</v>
      </c>
      <c r="O25" s="27">
        <f t="shared" si="7"/>
        <v>0</v>
      </c>
      <c r="P25" s="27">
        <f t="shared" si="7"/>
        <v>0</v>
      </c>
      <c r="Q25" s="35"/>
      <c r="R25" s="35"/>
      <c r="S25" s="28"/>
      <c r="T25" s="28"/>
      <c r="U25" s="28"/>
    </row>
    <row r="26" spans="1:21" s="19" customFormat="1" ht="13.15" hidden="1" customHeight="1">
      <c r="A26" s="1068" t="s">
        <v>30</v>
      </c>
      <c r="B26" s="1065" t="s">
        <v>31</v>
      </c>
      <c r="C26" s="26" t="s">
        <v>21</v>
      </c>
      <c r="D26" s="17">
        <f>E26+M26</f>
        <v>1300000</v>
      </c>
      <c r="E26" s="27">
        <f>F26+I26+J26+K26+L26</f>
        <v>1300000</v>
      </c>
      <c r="F26" s="27">
        <f>G26+H26</f>
        <v>0</v>
      </c>
      <c r="G26" s="27">
        <v>0</v>
      </c>
      <c r="H26" s="27">
        <v>0</v>
      </c>
      <c r="I26" s="27">
        <v>1300000</v>
      </c>
      <c r="J26" s="27">
        <v>0</v>
      </c>
      <c r="K26" s="27">
        <v>0</v>
      </c>
      <c r="L26" s="27">
        <v>0</v>
      </c>
      <c r="M26" s="27">
        <f>N26+P26</f>
        <v>0</v>
      </c>
      <c r="N26" s="27">
        <v>0</v>
      </c>
      <c r="O26" s="27">
        <v>0</v>
      </c>
      <c r="P26" s="27">
        <v>0</v>
      </c>
      <c r="Q26" s="35"/>
      <c r="R26" s="35"/>
      <c r="S26" s="28"/>
      <c r="T26" s="28"/>
      <c r="U26" s="28"/>
    </row>
    <row r="27" spans="1:21" s="19" customFormat="1" hidden="1">
      <c r="A27" s="1068"/>
      <c r="B27" s="1065"/>
      <c r="C27" s="26" t="s">
        <v>22</v>
      </c>
      <c r="D27" s="17">
        <f>E27+M27</f>
        <v>0</v>
      </c>
      <c r="E27" s="27">
        <f>F27+I27+J27+K27+L27</f>
        <v>0</v>
      </c>
      <c r="F27" s="27">
        <f>G27+H27</f>
        <v>0</v>
      </c>
      <c r="G27" s="27"/>
      <c r="H27" s="27"/>
      <c r="I27" s="27"/>
      <c r="J27" s="27"/>
      <c r="K27" s="27"/>
      <c r="L27" s="27"/>
      <c r="M27" s="27">
        <f>N27+P27</f>
        <v>0</v>
      </c>
      <c r="N27" s="27"/>
      <c r="O27" s="27"/>
      <c r="P27" s="27"/>
      <c r="Q27" s="35"/>
      <c r="R27" s="35"/>
      <c r="S27" s="28"/>
      <c r="T27" s="28"/>
      <c r="U27" s="28"/>
    </row>
    <row r="28" spans="1:21" s="19" customFormat="1" hidden="1">
      <c r="A28" s="1068"/>
      <c r="B28" s="1065"/>
      <c r="C28" s="26" t="s">
        <v>23</v>
      </c>
      <c r="D28" s="17">
        <f t="shared" ref="D28:P28" si="8">D26+D27</f>
        <v>1300000</v>
      </c>
      <c r="E28" s="27">
        <f t="shared" si="8"/>
        <v>1300000</v>
      </c>
      <c r="F28" s="27">
        <f t="shared" si="8"/>
        <v>0</v>
      </c>
      <c r="G28" s="27">
        <f t="shared" si="8"/>
        <v>0</v>
      </c>
      <c r="H28" s="27">
        <f t="shared" si="8"/>
        <v>0</v>
      </c>
      <c r="I28" s="27">
        <f t="shared" si="8"/>
        <v>1300000</v>
      </c>
      <c r="J28" s="27">
        <f t="shared" si="8"/>
        <v>0</v>
      </c>
      <c r="K28" s="27">
        <f t="shared" si="8"/>
        <v>0</v>
      </c>
      <c r="L28" s="27">
        <f t="shared" si="8"/>
        <v>0</v>
      </c>
      <c r="M28" s="27">
        <f t="shared" si="8"/>
        <v>0</v>
      </c>
      <c r="N28" s="27">
        <f t="shared" si="8"/>
        <v>0</v>
      </c>
      <c r="O28" s="27">
        <f t="shared" si="8"/>
        <v>0</v>
      </c>
      <c r="P28" s="27">
        <f t="shared" si="8"/>
        <v>0</v>
      </c>
      <c r="Q28" s="35"/>
      <c r="R28" s="35"/>
      <c r="S28" s="28"/>
      <c r="T28" s="28"/>
      <c r="U28" s="28"/>
    </row>
    <row r="29" spans="1:21" s="19" customFormat="1" ht="13.15" hidden="1" customHeight="1">
      <c r="A29" s="1068" t="s">
        <v>32</v>
      </c>
      <c r="B29" s="1065" t="s">
        <v>33</v>
      </c>
      <c r="C29" s="26" t="s">
        <v>21</v>
      </c>
      <c r="D29" s="17">
        <f>E29+M29</f>
        <v>5610500</v>
      </c>
      <c r="E29" s="27">
        <f>F29+I29+J29+K29+L29</f>
        <v>5608000</v>
      </c>
      <c r="F29" s="27">
        <f>G29+H29</f>
        <v>0</v>
      </c>
      <c r="G29" s="27">
        <v>0</v>
      </c>
      <c r="H29" s="27">
        <v>0</v>
      </c>
      <c r="I29" s="27">
        <v>8000</v>
      </c>
      <c r="J29" s="27">
        <v>0</v>
      </c>
      <c r="K29" s="27">
        <v>5600000</v>
      </c>
      <c r="L29" s="27">
        <v>0</v>
      </c>
      <c r="M29" s="27">
        <f>N29+P29</f>
        <v>2500</v>
      </c>
      <c r="N29" s="27">
        <v>2500</v>
      </c>
      <c r="O29" s="27">
        <v>0</v>
      </c>
      <c r="P29" s="27">
        <v>0</v>
      </c>
      <c r="Q29" s="35"/>
      <c r="R29" s="35"/>
      <c r="S29" s="28"/>
      <c r="T29" s="28"/>
      <c r="U29" s="28"/>
    </row>
    <row r="30" spans="1:21" s="19" customFormat="1" hidden="1">
      <c r="A30" s="1068"/>
      <c r="B30" s="1065"/>
      <c r="C30" s="26" t="s">
        <v>22</v>
      </c>
      <c r="D30" s="17">
        <f>E30+M30</f>
        <v>0</v>
      </c>
      <c r="E30" s="27">
        <f>F30+I30+J30+K30+L30</f>
        <v>0</v>
      </c>
      <c r="F30" s="27">
        <f>G30+H30</f>
        <v>0</v>
      </c>
      <c r="G30" s="27"/>
      <c r="H30" s="27"/>
      <c r="I30" s="27"/>
      <c r="J30" s="27"/>
      <c r="K30" s="27"/>
      <c r="L30" s="27"/>
      <c r="M30" s="27">
        <f>N30+P30</f>
        <v>0</v>
      </c>
      <c r="N30" s="27"/>
      <c r="O30" s="27"/>
      <c r="P30" s="27"/>
      <c r="Q30" s="35"/>
      <c r="R30" s="35"/>
      <c r="S30" s="28"/>
      <c r="T30" s="28"/>
      <c r="U30" s="28"/>
    </row>
    <row r="31" spans="1:21" s="19" customFormat="1" hidden="1">
      <c r="A31" s="1068"/>
      <c r="B31" s="1065"/>
      <c r="C31" s="26" t="s">
        <v>23</v>
      </c>
      <c r="D31" s="17">
        <f t="shared" ref="D31:P31" si="9">D29+D30</f>
        <v>5610500</v>
      </c>
      <c r="E31" s="27">
        <f t="shared" si="9"/>
        <v>5608000</v>
      </c>
      <c r="F31" s="27">
        <f t="shared" si="9"/>
        <v>0</v>
      </c>
      <c r="G31" s="27">
        <f t="shared" si="9"/>
        <v>0</v>
      </c>
      <c r="H31" s="27">
        <f t="shared" si="9"/>
        <v>0</v>
      </c>
      <c r="I31" s="27">
        <f t="shared" si="9"/>
        <v>8000</v>
      </c>
      <c r="J31" s="27">
        <f t="shared" si="9"/>
        <v>0</v>
      </c>
      <c r="K31" s="27">
        <f t="shared" si="9"/>
        <v>5600000</v>
      </c>
      <c r="L31" s="27">
        <f t="shared" si="9"/>
        <v>0</v>
      </c>
      <c r="M31" s="27">
        <f t="shared" si="9"/>
        <v>2500</v>
      </c>
      <c r="N31" s="27">
        <f t="shared" si="9"/>
        <v>2500</v>
      </c>
      <c r="O31" s="27">
        <f t="shared" si="9"/>
        <v>0</v>
      </c>
      <c r="P31" s="27">
        <f t="shared" si="9"/>
        <v>0</v>
      </c>
      <c r="Q31" s="35"/>
      <c r="R31" s="35"/>
      <c r="S31" s="28"/>
      <c r="T31" s="28"/>
      <c r="U31" s="28"/>
    </row>
    <row r="32" spans="1:21" s="19" customFormat="1" ht="13.15" hidden="1" customHeight="1">
      <c r="A32" s="1068" t="s">
        <v>34</v>
      </c>
      <c r="B32" s="1065" t="s">
        <v>35</v>
      </c>
      <c r="C32" s="26" t="s">
        <v>21</v>
      </c>
      <c r="D32" s="17">
        <f>E32+M32</f>
        <v>6550000</v>
      </c>
      <c r="E32" s="27">
        <f>F32+I32+J32+K32+L32</f>
        <v>550000</v>
      </c>
      <c r="F32" s="27">
        <f>G32+H32</f>
        <v>550000</v>
      </c>
      <c r="G32" s="27">
        <v>528000</v>
      </c>
      <c r="H32" s="27">
        <v>22000</v>
      </c>
      <c r="I32" s="27">
        <v>0</v>
      </c>
      <c r="J32" s="27">
        <v>0</v>
      </c>
      <c r="K32" s="27">
        <v>0</v>
      </c>
      <c r="L32" s="27">
        <v>0</v>
      </c>
      <c r="M32" s="27">
        <f>N32+P32</f>
        <v>6000000</v>
      </c>
      <c r="N32" s="27">
        <v>6000000</v>
      </c>
      <c r="O32" s="27">
        <v>0</v>
      </c>
      <c r="P32" s="27">
        <v>0</v>
      </c>
      <c r="Q32" s="35"/>
      <c r="R32" s="35"/>
      <c r="S32" s="28"/>
      <c r="T32" s="28"/>
      <c r="U32" s="28"/>
    </row>
    <row r="33" spans="1:21" s="19" customFormat="1" hidden="1">
      <c r="A33" s="1068"/>
      <c r="B33" s="1065"/>
      <c r="C33" s="26" t="s">
        <v>22</v>
      </c>
      <c r="D33" s="17">
        <f>E33+M33</f>
        <v>0</v>
      </c>
      <c r="E33" s="27">
        <f>F33+I33+J33+K33+L33</f>
        <v>0</v>
      </c>
      <c r="F33" s="27">
        <f>G33+H33</f>
        <v>0</v>
      </c>
      <c r="G33" s="27"/>
      <c r="H33" s="27"/>
      <c r="I33" s="27"/>
      <c r="J33" s="27"/>
      <c r="K33" s="27"/>
      <c r="L33" s="27"/>
      <c r="M33" s="27">
        <f>N33+P33</f>
        <v>0</v>
      </c>
      <c r="N33" s="27"/>
      <c r="O33" s="27"/>
      <c r="P33" s="27"/>
      <c r="Q33" s="35"/>
      <c r="R33" s="35"/>
      <c r="S33" s="28"/>
      <c r="T33" s="28"/>
      <c r="U33" s="28"/>
    </row>
    <row r="34" spans="1:21" s="19" customFormat="1" hidden="1">
      <c r="A34" s="1068"/>
      <c r="B34" s="1065"/>
      <c r="C34" s="26" t="s">
        <v>23</v>
      </c>
      <c r="D34" s="17">
        <f t="shared" ref="D34:P34" si="10">D32+D33</f>
        <v>6550000</v>
      </c>
      <c r="E34" s="27">
        <f t="shared" si="10"/>
        <v>550000</v>
      </c>
      <c r="F34" s="27">
        <f t="shared" si="10"/>
        <v>550000</v>
      </c>
      <c r="G34" s="27">
        <f t="shared" si="10"/>
        <v>528000</v>
      </c>
      <c r="H34" s="27">
        <f t="shared" si="10"/>
        <v>22000</v>
      </c>
      <c r="I34" s="27">
        <f t="shared" si="10"/>
        <v>0</v>
      </c>
      <c r="J34" s="27">
        <f t="shared" si="10"/>
        <v>0</v>
      </c>
      <c r="K34" s="27">
        <f t="shared" si="10"/>
        <v>0</v>
      </c>
      <c r="L34" s="27">
        <f t="shared" si="10"/>
        <v>0</v>
      </c>
      <c r="M34" s="27">
        <f t="shared" si="10"/>
        <v>6000000</v>
      </c>
      <c r="N34" s="27">
        <f t="shared" si="10"/>
        <v>6000000</v>
      </c>
      <c r="O34" s="27">
        <f t="shared" si="10"/>
        <v>0</v>
      </c>
      <c r="P34" s="27">
        <f t="shared" si="10"/>
        <v>0</v>
      </c>
      <c r="Q34" s="35"/>
      <c r="R34" s="35"/>
      <c r="S34" s="28"/>
      <c r="T34" s="28"/>
      <c r="U34" s="28"/>
    </row>
    <row r="35" spans="1:21" s="19" customFormat="1" ht="13.15" customHeight="1">
      <c r="A35" s="1068" t="s">
        <v>36</v>
      </c>
      <c r="B35" s="1065" t="s">
        <v>37</v>
      </c>
      <c r="C35" s="26" t="s">
        <v>21</v>
      </c>
      <c r="D35" s="17">
        <f>E35+M35</f>
        <v>522663.36</v>
      </c>
      <c r="E35" s="27">
        <f>F35+I35+J35+K35+L35</f>
        <v>522663.36</v>
      </c>
      <c r="F35" s="27">
        <f>G35+H35</f>
        <v>472663.36</v>
      </c>
      <c r="G35" s="27">
        <v>0</v>
      </c>
      <c r="H35" s="27">
        <v>472663.36</v>
      </c>
      <c r="I35" s="27">
        <v>50000</v>
      </c>
      <c r="J35" s="27">
        <v>0</v>
      </c>
      <c r="K35" s="27">
        <v>0</v>
      </c>
      <c r="L35" s="27">
        <v>0</v>
      </c>
      <c r="M35" s="27">
        <f>N35+P35</f>
        <v>0</v>
      </c>
      <c r="N35" s="27">
        <v>0</v>
      </c>
      <c r="O35" s="27">
        <v>0</v>
      </c>
      <c r="P35" s="27">
        <v>0</v>
      </c>
      <c r="Q35" s="35"/>
      <c r="R35" s="35"/>
      <c r="S35" s="28"/>
      <c r="T35" s="28"/>
      <c r="U35" s="28"/>
    </row>
    <row r="36" spans="1:21" s="19" customFormat="1">
      <c r="A36" s="1068"/>
      <c r="B36" s="1065"/>
      <c r="C36" s="26" t="s">
        <v>22</v>
      </c>
      <c r="D36" s="17">
        <f>E36+M36</f>
        <v>-57092.29</v>
      </c>
      <c r="E36" s="27">
        <f>F36+I36+J36+K36+L36</f>
        <v>-57092.29</v>
      </c>
      <c r="F36" s="27">
        <f>G36+H36</f>
        <v>-57092.29</v>
      </c>
      <c r="G36" s="27"/>
      <c r="H36" s="27">
        <f>11107.71-68200</f>
        <v>-57092.29</v>
      </c>
      <c r="I36" s="27"/>
      <c r="J36" s="27"/>
      <c r="K36" s="27"/>
      <c r="L36" s="27"/>
      <c r="M36" s="27">
        <f>N36+P36</f>
        <v>0</v>
      </c>
      <c r="N36" s="27"/>
      <c r="O36" s="27"/>
      <c r="P36" s="27"/>
      <c r="Q36" s="35"/>
      <c r="R36" s="35"/>
      <c r="S36" s="28"/>
      <c r="T36" s="28"/>
      <c r="U36" s="28"/>
    </row>
    <row r="37" spans="1:21" s="19" customFormat="1">
      <c r="A37" s="1068"/>
      <c r="B37" s="1065"/>
      <c r="C37" s="26" t="s">
        <v>23</v>
      </c>
      <c r="D37" s="17">
        <f t="shared" ref="D37:P37" si="11">D35+D36</f>
        <v>465571.07</v>
      </c>
      <c r="E37" s="27">
        <f t="shared" si="11"/>
        <v>465571.07</v>
      </c>
      <c r="F37" s="27">
        <f t="shared" si="11"/>
        <v>415571.07</v>
      </c>
      <c r="G37" s="27">
        <f t="shared" si="11"/>
        <v>0</v>
      </c>
      <c r="H37" s="27">
        <f t="shared" si="11"/>
        <v>415571.07</v>
      </c>
      <c r="I37" s="27">
        <f t="shared" si="11"/>
        <v>50000</v>
      </c>
      <c r="J37" s="27">
        <f t="shared" si="11"/>
        <v>0</v>
      </c>
      <c r="K37" s="27">
        <f t="shared" si="11"/>
        <v>0</v>
      </c>
      <c r="L37" s="27">
        <f t="shared" si="11"/>
        <v>0</v>
      </c>
      <c r="M37" s="27">
        <f t="shared" si="11"/>
        <v>0</v>
      </c>
      <c r="N37" s="27">
        <f t="shared" si="11"/>
        <v>0</v>
      </c>
      <c r="O37" s="27">
        <f t="shared" si="11"/>
        <v>0</v>
      </c>
      <c r="P37" s="27">
        <f t="shared" si="11"/>
        <v>0</v>
      </c>
      <c r="Q37" s="35"/>
      <c r="R37" s="35"/>
      <c r="S37" s="28"/>
      <c r="T37" s="28"/>
      <c r="U37" s="28"/>
    </row>
    <row r="38" spans="1:21" s="40" customFormat="1" ht="13.9" customHeight="1">
      <c r="A38" s="1071" t="s">
        <v>38</v>
      </c>
      <c r="B38" s="1063" t="s">
        <v>39</v>
      </c>
      <c r="C38" s="29" t="s">
        <v>21</v>
      </c>
      <c r="D38" s="36">
        <f t="shared" ref="D38:P38" si="12">D44+D47+D41</f>
        <v>452000</v>
      </c>
      <c r="E38" s="37">
        <f t="shared" si="12"/>
        <v>452000</v>
      </c>
      <c r="F38" s="37">
        <f t="shared" si="12"/>
        <v>64000</v>
      </c>
      <c r="G38" s="37">
        <f t="shared" si="12"/>
        <v>64000</v>
      </c>
      <c r="H38" s="37">
        <f t="shared" si="12"/>
        <v>0</v>
      </c>
      <c r="I38" s="37">
        <f t="shared" si="12"/>
        <v>8000</v>
      </c>
      <c r="J38" s="37">
        <f t="shared" si="12"/>
        <v>0</v>
      </c>
      <c r="K38" s="37">
        <f t="shared" si="12"/>
        <v>380000</v>
      </c>
      <c r="L38" s="37">
        <f t="shared" si="12"/>
        <v>0</v>
      </c>
      <c r="M38" s="37">
        <f t="shared" si="12"/>
        <v>0</v>
      </c>
      <c r="N38" s="37">
        <f t="shared" si="12"/>
        <v>0</v>
      </c>
      <c r="O38" s="37">
        <f t="shared" si="12"/>
        <v>0</v>
      </c>
      <c r="P38" s="37">
        <f t="shared" si="12"/>
        <v>0</v>
      </c>
      <c r="Q38" s="38"/>
      <c r="R38" s="38"/>
      <c r="S38" s="39"/>
      <c r="T38" s="39"/>
      <c r="U38" s="39"/>
    </row>
    <row r="39" spans="1:21" s="40" customFormat="1" ht="14.25">
      <c r="A39" s="1071"/>
      <c r="B39" s="1063"/>
      <c r="C39" s="29" t="s">
        <v>22</v>
      </c>
      <c r="D39" s="36">
        <f t="shared" ref="D39:P39" si="13">D45+D48+D42</f>
        <v>-77849</v>
      </c>
      <c r="E39" s="37">
        <f t="shared" si="13"/>
        <v>-77849</v>
      </c>
      <c r="F39" s="37">
        <f t="shared" si="13"/>
        <v>27691</v>
      </c>
      <c r="G39" s="37">
        <f t="shared" si="13"/>
        <v>21080</v>
      </c>
      <c r="H39" s="37">
        <f t="shared" si="13"/>
        <v>6611</v>
      </c>
      <c r="I39" s="37">
        <f t="shared" si="13"/>
        <v>0</v>
      </c>
      <c r="J39" s="37">
        <f t="shared" si="13"/>
        <v>0</v>
      </c>
      <c r="K39" s="37">
        <f t="shared" si="13"/>
        <v>-105540</v>
      </c>
      <c r="L39" s="37">
        <f t="shared" si="13"/>
        <v>0</v>
      </c>
      <c r="M39" s="37">
        <f t="shared" si="13"/>
        <v>0</v>
      </c>
      <c r="N39" s="37">
        <f t="shared" si="13"/>
        <v>0</v>
      </c>
      <c r="O39" s="37">
        <f t="shared" si="13"/>
        <v>0</v>
      </c>
      <c r="P39" s="37">
        <f t="shared" si="13"/>
        <v>0</v>
      </c>
      <c r="Q39" s="38"/>
      <c r="R39" s="38"/>
      <c r="S39" s="39"/>
      <c r="T39" s="39"/>
      <c r="U39" s="39"/>
    </row>
    <row r="40" spans="1:21" s="40" customFormat="1" ht="14.25">
      <c r="A40" s="1071"/>
      <c r="B40" s="1063"/>
      <c r="C40" s="29" t="s">
        <v>23</v>
      </c>
      <c r="D40" s="36">
        <f t="shared" ref="D40:P40" si="14">D38+D39</f>
        <v>374151</v>
      </c>
      <c r="E40" s="37">
        <f t="shared" si="14"/>
        <v>374151</v>
      </c>
      <c r="F40" s="37">
        <f t="shared" si="14"/>
        <v>91691</v>
      </c>
      <c r="G40" s="37">
        <f t="shared" si="14"/>
        <v>85080</v>
      </c>
      <c r="H40" s="37">
        <f t="shared" si="14"/>
        <v>6611</v>
      </c>
      <c r="I40" s="37">
        <f t="shared" si="14"/>
        <v>8000</v>
      </c>
      <c r="J40" s="37">
        <f t="shared" si="14"/>
        <v>0</v>
      </c>
      <c r="K40" s="37">
        <f t="shared" si="14"/>
        <v>274460</v>
      </c>
      <c r="L40" s="37">
        <f t="shared" si="14"/>
        <v>0</v>
      </c>
      <c r="M40" s="37">
        <f t="shared" si="14"/>
        <v>0</v>
      </c>
      <c r="N40" s="37">
        <f t="shared" si="14"/>
        <v>0</v>
      </c>
      <c r="O40" s="37">
        <f t="shared" si="14"/>
        <v>0</v>
      </c>
      <c r="P40" s="37">
        <f t="shared" si="14"/>
        <v>0</v>
      </c>
      <c r="Q40" s="38"/>
      <c r="R40" s="38"/>
      <c r="S40" s="39"/>
      <c r="T40" s="39"/>
      <c r="U40" s="39"/>
    </row>
    <row r="41" spans="1:21" s="19" customFormat="1" ht="13.15" hidden="1" customHeight="1">
      <c r="A41" s="1067" t="s">
        <v>40</v>
      </c>
      <c r="B41" s="1069" t="s">
        <v>41</v>
      </c>
      <c r="C41" s="41" t="s">
        <v>21</v>
      </c>
      <c r="D41" s="17">
        <f>E41+M41</f>
        <v>0</v>
      </c>
      <c r="E41" s="27">
        <f>F41+I41+J41+K41+L41</f>
        <v>0</v>
      </c>
      <c r="F41" s="27">
        <f>G41+H41</f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f>N41+P41</f>
        <v>0</v>
      </c>
      <c r="N41" s="27">
        <v>0</v>
      </c>
      <c r="O41" s="27">
        <v>0</v>
      </c>
      <c r="P41" s="27">
        <v>0</v>
      </c>
      <c r="Q41" s="35"/>
      <c r="R41" s="35"/>
      <c r="S41" s="28"/>
      <c r="T41" s="28"/>
      <c r="U41" s="28"/>
    </row>
    <row r="42" spans="1:21" s="19" customFormat="1" hidden="1">
      <c r="A42" s="1067"/>
      <c r="B42" s="1069"/>
      <c r="C42" s="41" t="s">
        <v>22</v>
      </c>
      <c r="D42" s="17">
        <f>E42+M42</f>
        <v>0</v>
      </c>
      <c r="E42" s="27">
        <f>F42+I42+J42+K42+L42</f>
        <v>0</v>
      </c>
      <c r="F42" s="27">
        <f>G42+H42</f>
        <v>0</v>
      </c>
      <c r="G42" s="27"/>
      <c r="H42" s="27"/>
      <c r="I42" s="27"/>
      <c r="J42" s="27"/>
      <c r="K42" s="27"/>
      <c r="L42" s="27"/>
      <c r="M42" s="27">
        <f>N42+P42</f>
        <v>0</v>
      </c>
      <c r="N42" s="27"/>
      <c r="O42" s="27"/>
      <c r="P42" s="27"/>
      <c r="Q42" s="35"/>
      <c r="R42" s="35"/>
      <c r="S42" s="28"/>
      <c r="T42" s="28"/>
      <c r="U42" s="28"/>
    </row>
    <row r="43" spans="1:21" s="19" customFormat="1" hidden="1">
      <c r="A43" s="1067"/>
      <c r="B43" s="1069"/>
      <c r="C43" s="41" t="s">
        <v>23</v>
      </c>
      <c r="D43" s="17">
        <f t="shared" ref="D43:P43" si="15">D41+D42</f>
        <v>0</v>
      </c>
      <c r="E43" s="27">
        <f t="shared" si="15"/>
        <v>0</v>
      </c>
      <c r="F43" s="27">
        <f t="shared" si="15"/>
        <v>0</v>
      </c>
      <c r="G43" s="27">
        <f t="shared" si="15"/>
        <v>0</v>
      </c>
      <c r="H43" s="27">
        <f t="shared" si="15"/>
        <v>0</v>
      </c>
      <c r="I43" s="27">
        <f t="shared" si="15"/>
        <v>0</v>
      </c>
      <c r="J43" s="27">
        <f t="shared" si="15"/>
        <v>0</v>
      </c>
      <c r="K43" s="27">
        <f t="shared" si="15"/>
        <v>0</v>
      </c>
      <c r="L43" s="27">
        <f t="shared" si="15"/>
        <v>0</v>
      </c>
      <c r="M43" s="27">
        <f t="shared" si="15"/>
        <v>0</v>
      </c>
      <c r="N43" s="27">
        <f t="shared" si="15"/>
        <v>0</v>
      </c>
      <c r="O43" s="27">
        <f t="shared" si="15"/>
        <v>0</v>
      </c>
      <c r="P43" s="27">
        <f t="shared" si="15"/>
        <v>0</v>
      </c>
      <c r="Q43" s="35"/>
      <c r="R43" s="35"/>
      <c r="S43" s="28"/>
      <c r="T43" s="28"/>
      <c r="U43" s="28"/>
    </row>
    <row r="44" spans="1:21" s="19" customFormat="1" ht="19.149999999999999" customHeight="1">
      <c r="A44" s="1068" t="s">
        <v>42</v>
      </c>
      <c r="B44" s="1069" t="s">
        <v>43</v>
      </c>
      <c r="C44" s="41" t="s">
        <v>21</v>
      </c>
      <c r="D44" s="17">
        <f>E44+M44</f>
        <v>388000</v>
      </c>
      <c r="E44" s="27">
        <f>F44+I44+J44+K44+L44</f>
        <v>388000</v>
      </c>
      <c r="F44" s="27">
        <f>G44+H44</f>
        <v>0</v>
      </c>
      <c r="G44" s="27">
        <v>0</v>
      </c>
      <c r="H44" s="27">
        <v>0</v>
      </c>
      <c r="I44" s="27">
        <v>8000</v>
      </c>
      <c r="J44" s="27">
        <v>0</v>
      </c>
      <c r="K44" s="27">
        <v>380000</v>
      </c>
      <c r="L44" s="27">
        <v>0</v>
      </c>
      <c r="M44" s="27">
        <f>N44+P44</f>
        <v>0</v>
      </c>
      <c r="N44" s="27">
        <v>0</v>
      </c>
      <c r="O44" s="27">
        <v>0</v>
      </c>
      <c r="P44" s="27">
        <v>0</v>
      </c>
      <c r="Q44" s="35"/>
      <c r="R44" s="35"/>
      <c r="S44" s="28"/>
      <c r="T44" s="28"/>
      <c r="U44" s="28"/>
    </row>
    <row r="45" spans="1:21" s="19" customFormat="1" ht="19.149999999999999" customHeight="1">
      <c r="A45" s="1068"/>
      <c r="B45" s="1069"/>
      <c r="C45" s="41" t="s">
        <v>22</v>
      </c>
      <c r="D45" s="17">
        <f>E45+M45</f>
        <v>-77849</v>
      </c>
      <c r="E45" s="27">
        <f>F45+I45+J45+K45+L45</f>
        <v>-77849</v>
      </c>
      <c r="F45" s="27">
        <f>G45+H45</f>
        <v>27691</v>
      </c>
      <c r="G45" s="27">
        <f>17864+2761+311+144</f>
        <v>21080</v>
      </c>
      <c r="H45" s="27">
        <f>330+937+1310+185+2268+483+1098</f>
        <v>6611</v>
      </c>
      <c r="I45" s="27"/>
      <c r="J45" s="27"/>
      <c r="K45" s="27">
        <f>-29357-9787-2250-750-6266-2089-1452-486-1050-350-8550-2850-1627-542-2100-700-3262-1088-8485-2828-863-287-6299-2099-2594-864-1125-375-1500-500-2374-791</f>
        <v>-105540</v>
      </c>
      <c r="L45" s="27"/>
      <c r="M45" s="27">
        <f>N45+P45</f>
        <v>0</v>
      </c>
      <c r="N45" s="27"/>
      <c r="O45" s="27"/>
      <c r="P45" s="27"/>
      <c r="Q45" s="35"/>
      <c r="R45" s="35"/>
      <c r="S45" s="28"/>
      <c r="T45" s="28"/>
      <c r="U45" s="28"/>
    </row>
    <row r="46" spans="1:21" s="19" customFormat="1" ht="19.149999999999999" customHeight="1">
      <c r="A46" s="1068"/>
      <c r="B46" s="1069"/>
      <c r="C46" s="41" t="s">
        <v>23</v>
      </c>
      <c r="D46" s="17">
        <f t="shared" ref="D46:P46" si="16">D44+D45</f>
        <v>310151</v>
      </c>
      <c r="E46" s="27">
        <f t="shared" si="16"/>
        <v>310151</v>
      </c>
      <c r="F46" s="27">
        <f t="shared" si="16"/>
        <v>27691</v>
      </c>
      <c r="G46" s="27">
        <f t="shared" si="16"/>
        <v>21080</v>
      </c>
      <c r="H46" s="27">
        <f t="shared" si="16"/>
        <v>6611</v>
      </c>
      <c r="I46" s="27">
        <f t="shared" si="16"/>
        <v>8000</v>
      </c>
      <c r="J46" s="27">
        <f t="shared" si="16"/>
        <v>0</v>
      </c>
      <c r="K46" s="27">
        <f t="shared" si="16"/>
        <v>274460</v>
      </c>
      <c r="L46" s="27">
        <f t="shared" si="16"/>
        <v>0</v>
      </c>
      <c r="M46" s="27">
        <f t="shared" si="16"/>
        <v>0</v>
      </c>
      <c r="N46" s="27">
        <f t="shared" si="16"/>
        <v>0</v>
      </c>
      <c r="O46" s="27">
        <f t="shared" si="16"/>
        <v>0</v>
      </c>
      <c r="P46" s="27">
        <f t="shared" si="16"/>
        <v>0</v>
      </c>
      <c r="Q46" s="35"/>
      <c r="R46" s="35"/>
      <c r="S46" s="28"/>
      <c r="T46" s="28"/>
      <c r="U46" s="28"/>
    </row>
    <row r="47" spans="1:21" s="19" customFormat="1" ht="13.15" hidden="1" customHeight="1">
      <c r="A47" s="1067" t="s">
        <v>44</v>
      </c>
      <c r="B47" s="1069" t="s">
        <v>37</v>
      </c>
      <c r="C47" s="41" t="s">
        <v>21</v>
      </c>
      <c r="D47" s="17">
        <f>E47+M47</f>
        <v>64000</v>
      </c>
      <c r="E47" s="27">
        <f>F47+I47+J47+K47+L47</f>
        <v>64000</v>
      </c>
      <c r="F47" s="27">
        <f>G47+H47</f>
        <v>64000</v>
      </c>
      <c r="G47" s="27">
        <v>64000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f>N47+P47</f>
        <v>0</v>
      </c>
      <c r="N47" s="27">
        <v>0</v>
      </c>
      <c r="O47" s="27">
        <v>0</v>
      </c>
      <c r="P47" s="27">
        <v>0</v>
      </c>
      <c r="Q47" s="35"/>
      <c r="R47" s="35"/>
      <c r="S47" s="28"/>
      <c r="T47" s="28"/>
      <c r="U47" s="28"/>
    </row>
    <row r="48" spans="1:21" s="19" customFormat="1" hidden="1">
      <c r="A48" s="1067"/>
      <c r="B48" s="1069"/>
      <c r="C48" s="41" t="s">
        <v>22</v>
      </c>
      <c r="D48" s="17">
        <f>E48+M48</f>
        <v>0</v>
      </c>
      <c r="E48" s="27">
        <f>F48+I48+J48+K48+L48</f>
        <v>0</v>
      </c>
      <c r="F48" s="27">
        <f>G48+H48</f>
        <v>0</v>
      </c>
      <c r="G48" s="27"/>
      <c r="H48" s="27"/>
      <c r="I48" s="27"/>
      <c r="J48" s="27"/>
      <c r="K48" s="27"/>
      <c r="L48" s="27"/>
      <c r="M48" s="27">
        <f>N48+P48</f>
        <v>0</v>
      </c>
      <c r="N48" s="27"/>
      <c r="O48" s="27"/>
      <c r="P48" s="27"/>
      <c r="Q48" s="35"/>
      <c r="R48" s="35"/>
      <c r="S48" s="28"/>
      <c r="T48" s="28"/>
      <c r="U48" s="28"/>
    </row>
    <row r="49" spans="1:21" s="19" customFormat="1" hidden="1">
      <c r="A49" s="1067"/>
      <c r="B49" s="1069"/>
      <c r="C49" s="41" t="s">
        <v>23</v>
      </c>
      <c r="D49" s="17">
        <f t="shared" ref="D49:P49" si="17">D47+D48</f>
        <v>64000</v>
      </c>
      <c r="E49" s="27">
        <f t="shared" si="17"/>
        <v>64000</v>
      </c>
      <c r="F49" s="27">
        <f t="shared" si="17"/>
        <v>64000</v>
      </c>
      <c r="G49" s="27">
        <f t="shared" si="17"/>
        <v>64000</v>
      </c>
      <c r="H49" s="27">
        <f t="shared" si="17"/>
        <v>0</v>
      </c>
      <c r="I49" s="27">
        <f t="shared" si="17"/>
        <v>0</v>
      </c>
      <c r="J49" s="27">
        <f t="shared" si="17"/>
        <v>0</v>
      </c>
      <c r="K49" s="27">
        <f t="shared" si="17"/>
        <v>0</v>
      </c>
      <c r="L49" s="27">
        <f t="shared" si="17"/>
        <v>0</v>
      </c>
      <c r="M49" s="27">
        <f t="shared" si="17"/>
        <v>0</v>
      </c>
      <c r="N49" s="27">
        <f t="shared" si="17"/>
        <v>0</v>
      </c>
      <c r="O49" s="27">
        <f t="shared" si="17"/>
        <v>0</v>
      </c>
      <c r="P49" s="27">
        <f t="shared" si="17"/>
        <v>0</v>
      </c>
      <c r="Q49" s="35"/>
      <c r="R49" s="35"/>
      <c r="S49" s="28"/>
      <c r="T49" s="28"/>
      <c r="U49" s="28"/>
    </row>
    <row r="50" spans="1:21" s="45" customFormat="1" ht="14.25">
      <c r="A50" s="1071" t="s">
        <v>45</v>
      </c>
      <c r="B50" s="1063" t="s">
        <v>46</v>
      </c>
      <c r="C50" s="42" t="s">
        <v>21</v>
      </c>
      <c r="D50" s="30">
        <f t="shared" ref="D50:P50" si="18">D56+D59+D53</f>
        <v>7833813</v>
      </c>
      <c r="E50" s="31">
        <f t="shared" si="18"/>
        <v>7829096</v>
      </c>
      <c r="F50" s="31">
        <f t="shared" si="18"/>
        <v>2765774</v>
      </c>
      <c r="G50" s="31">
        <f t="shared" si="18"/>
        <v>218238</v>
      </c>
      <c r="H50" s="31">
        <f t="shared" si="18"/>
        <v>2547536</v>
      </c>
      <c r="I50" s="31">
        <f t="shared" si="18"/>
        <v>3062707</v>
      </c>
      <c r="J50" s="31">
        <f t="shared" si="18"/>
        <v>0</v>
      </c>
      <c r="K50" s="31">
        <f t="shared" si="18"/>
        <v>2000615</v>
      </c>
      <c r="L50" s="31">
        <f t="shared" si="18"/>
        <v>0</v>
      </c>
      <c r="M50" s="31">
        <f t="shared" si="18"/>
        <v>4717</v>
      </c>
      <c r="N50" s="31">
        <f t="shared" si="18"/>
        <v>4717</v>
      </c>
      <c r="O50" s="31">
        <f t="shared" si="18"/>
        <v>4717</v>
      </c>
      <c r="P50" s="31">
        <f t="shared" si="18"/>
        <v>0</v>
      </c>
      <c r="Q50" s="43"/>
      <c r="R50" s="43"/>
      <c r="S50" s="44"/>
      <c r="T50" s="44"/>
      <c r="U50" s="44"/>
    </row>
    <row r="51" spans="1:21" s="45" customFormat="1" ht="14.25">
      <c r="A51" s="1071"/>
      <c r="B51" s="1063"/>
      <c r="C51" s="42" t="s">
        <v>22</v>
      </c>
      <c r="D51" s="30">
        <f t="shared" ref="D51:P51" si="19">D57+D60+D54</f>
        <v>6155271</v>
      </c>
      <c r="E51" s="31">
        <f t="shared" si="19"/>
        <v>6155055</v>
      </c>
      <c r="F51" s="31">
        <f t="shared" si="19"/>
        <v>0</v>
      </c>
      <c r="G51" s="31">
        <f t="shared" si="19"/>
        <v>0</v>
      </c>
      <c r="H51" s="31">
        <f t="shared" si="19"/>
        <v>0</v>
      </c>
      <c r="I51" s="31">
        <f t="shared" si="19"/>
        <v>0</v>
      </c>
      <c r="J51" s="31">
        <f t="shared" si="19"/>
        <v>0</v>
      </c>
      <c r="K51" s="31">
        <f t="shared" si="19"/>
        <v>6155055</v>
      </c>
      <c r="L51" s="31">
        <f t="shared" si="19"/>
        <v>0</v>
      </c>
      <c r="M51" s="31">
        <f t="shared" si="19"/>
        <v>216</v>
      </c>
      <c r="N51" s="31">
        <f t="shared" si="19"/>
        <v>216</v>
      </c>
      <c r="O51" s="31">
        <f t="shared" si="19"/>
        <v>216</v>
      </c>
      <c r="P51" s="31">
        <f t="shared" si="19"/>
        <v>0</v>
      </c>
      <c r="Q51" s="43"/>
      <c r="R51" s="43"/>
      <c r="S51" s="44"/>
      <c r="T51" s="44"/>
      <c r="U51" s="44"/>
    </row>
    <row r="52" spans="1:21" s="45" customFormat="1" ht="14.25">
      <c r="A52" s="1071"/>
      <c r="B52" s="1063"/>
      <c r="C52" s="42" t="s">
        <v>23</v>
      </c>
      <c r="D52" s="30">
        <f t="shared" ref="D52:P52" si="20">D50+D51</f>
        <v>13989084</v>
      </c>
      <c r="E52" s="31">
        <f t="shared" si="20"/>
        <v>13984151</v>
      </c>
      <c r="F52" s="31">
        <f t="shared" si="20"/>
        <v>2765774</v>
      </c>
      <c r="G52" s="31">
        <f t="shared" si="20"/>
        <v>218238</v>
      </c>
      <c r="H52" s="31">
        <f t="shared" si="20"/>
        <v>2547536</v>
      </c>
      <c r="I52" s="31">
        <f t="shared" si="20"/>
        <v>3062707</v>
      </c>
      <c r="J52" s="31">
        <f t="shared" si="20"/>
        <v>0</v>
      </c>
      <c r="K52" s="31">
        <f t="shared" si="20"/>
        <v>8155670</v>
      </c>
      <c r="L52" s="31">
        <f t="shared" si="20"/>
        <v>0</v>
      </c>
      <c r="M52" s="31">
        <f t="shared" si="20"/>
        <v>4933</v>
      </c>
      <c r="N52" s="31">
        <f t="shared" si="20"/>
        <v>4933</v>
      </c>
      <c r="O52" s="31">
        <f t="shared" si="20"/>
        <v>4933</v>
      </c>
      <c r="P52" s="31">
        <f t="shared" si="20"/>
        <v>0</v>
      </c>
      <c r="Q52" s="43"/>
      <c r="R52" s="43"/>
      <c r="S52" s="44"/>
      <c r="T52" s="44"/>
      <c r="U52" s="44"/>
    </row>
    <row r="53" spans="1:21" s="19" customFormat="1">
      <c r="A53" s="1068" t="s">
        <v>47</v>
      </c>
      <c r="B53" s="1069" t="s">
        <v>48</v>
      </c>
      <c r="C53" s="41" t="s">
        <v>21</v>
      </c>
      <c r="D53" s="17">
        <f>E53+M53</f>
        <v>5813198</v>
      </c>
      <c r="E53" s="27">
        <f>F53+I53+J53+K53+L53</f>
        <v>5808481</v>
      </c>
      <c r="F53" s="27">
        <f>G53+H53</f>
        <v>2745774</v>
      </c>
      <c r="G53" s="27">
        <v>213238</v>
      </c>
      <c r="H53" s="27">
        <v>2532536</v>
      </c>
      <c r="I53" s="27">
        <v>3062707</v>
      </c>
      <c r="J53" s="27">
        <v>0</v>
      </c>
      <c r="K53" s="27">
        <v>0</v>
      </c>
      <c r="L53" s="27">
        <v>0</v>
      </c>
      <c r="M53" s="27">
        <f>N53+P53</f>
        <v>4717</v>
      </c>
      <c r="N53" s="27">
        <v>4717</v>
      </c>
      <c r="O53" s="27">
        <v>4717</v>
      </c>
      <c r="P53" s="27">
        <v>0</v>
      </c>
      <c r="Q53" s="35"/>
      <c r="R53" s="35"/>
      <c r="S53" s="28"/>
      <c r="T53" s="28"/>
      <c r="U53" s="28"/>
    </row>
    <row r="54" spans="1:21" s="19" customFormat="1">
      <c r="A54" s="1068"/>
      <c r="B54" s="1069"/>
      <c r="C54" s="41" t="s">
        <v>22</v>
      </c>
      <c r="D54" s="17">
        <f>E54+M54</f>
        <v>6240216</v>
      </c>
      <c r="E54" s="27">
        <f>F54+I54+J54+K54+L54</f>
        <v>6240000</v>
      </c>
      <c r="F54" s="27">
        <f>G54+H54</f>
        <v>0</v>
      </c>
      <c r="G54" s="27"/>
      <c r="H54" s="27"/>
      <c r="I54" s="27"/>
      <c r="J54" s="27"/>
      <c r="K54" s="27">
        <f>6240216-216</f>
        <v>6240000</v>
      </c>
      <c r="L54" s="27"/>
      <c r="M54" s="27">
        <f>N54+P54</f>
        <v>216</v>
      </c>
      <c r="N54" s="27">
        <v>216</v>
      </c>
      <c r="O54" s="27">
        <v>216</v>
      </c>
      <c r="P54" s="27"/>
      <c r="Q54" s="35"/>
      <c r="R54" s="35"/>
      <c r="S54" s="28"/>
      <c r="T54" s="28"/>
      <c r="U54" s="28"/>
    </row>
    <row r="55" spans="1:21" s="19" customFormat="1">
      <c r="A55" s="1068"/>
      <c r="B55" s="1069"/>
      <c r="C55" s="41" t="s">
        <v>23</v>
      </c>
      <c r="D55" s="17">
        <f t="shared" ref="D55:P55" si="21">D53+D54</f>
        <v>12053414</v>
      </c>
      <c r="E55" s="27">
        <f t="shared" si="21"/>
        <v>12048481</v>
      </c>
      <c r="F55" s="27">
        <f t="shared" si="21"/>
        <v>2745774</v>
      </c>
      <c r="G55" s="27">
        <f t="shared" si="21"/>
        <v>213238</v>
      </c>
      <c r="H55" s="27">
        <f t="shared" si="21"/>
        <v>2532536</v>
      </c>
      <c r="I55" s="27">
        <f t="shared" si="21"/>
        <v>3062707</v>
      </c>
      <c r="J55" s="27">
        <f t="shared" si="21"/>
        <v>0</v>
      </c>
      <c r="K55" s="27">
        <f t="shared" si="21"/>
        <v>6240000</v>
      </c>
      <c r="L55" s="27">
        <f t="shared" si="21"/>
        <v>0</v>
      </c>
      <c r="M55" s="27">
        <f t="shared" si="21"/>
        <v>4933</v>
      </c>
      <c r="N55" s="27">
        <f t="shared" si="21"/>
        <v>4933</v>
      </c>
      <c r="O55" s="27">
        <f t="shared" si="21"/>
        <v>4933</v>
      </c>
      <c r="P55" s="27">
        <f t="shared" si="21"/>
        <v>0</v>
      </c>
      <c r="Q55" s="35"/>
      <c r="R55" s="35"/>
      <c r="S55" s="28"/>
      <c r="T55" s="28"/>
      <c r="U55" s="28"/>
    </row>
    <row r="56" spans="1:21" s="19" customFormat="1">
      <c r="A56" s="1068" t="s">
        <v>49</v>
      </c>
      <c r="B56" s="1069" t="s">
        <v>50</v>
      </c>
      <c r="C56" s="41" t="s">
        <v>21</v>
      </c>
      <c r="D56" s="17">
        <f>E56+M56</f>
        <v>1818007</v>
      </c>
      <c r="E56" s="27">
        <f>F56+I56+J56+K56+L56</f>
        <v>1818007</v>
      </c>
      <c r="F56" s="27">
        <f>G56+H56</f>
        <v>20000</v>
      </c>
      <c r="G56" s="27">
        <v>5000</v>
      </c>
      <c r="H56" s="27">
        <v>15000</v>
      </c>
      <c r="I56" s="27">
        <v>0</v>
      </c>
      <c r="J56" s="27">
        <v>0</v>
      </c>
      <c r="K56" s="27">
        <v>1798007</v>
      </c>
      <c r="L56" s="27">
        <v>0</v>
      </c>
      <c r="M56" s="27">
        <f>N56+P56</f>
        <v>0</v>
      </c>
      <c r="N56" s="27">
        <v>0</v>
      </c>
      <c r="O56" s="27">
        <v>0</v>
      </c>
      <c r="P56" s="27">
        <v>0</v>
      </c>
      <c r="Q56" s="35"/>
      <c r="R56" s="35"/>
      <c r="S56" s="28"/>
      <c r="T56" s="28"/>
      <c r="U56" s="28"/>
    </row>
    <row r="57" spans="1:21" s="19" customFormat="1">
      <c r="A57" s="1068"/>
      <c r="B57" s="1069"/>
      <c r="C57" s="41" t="s">
        <v>22</v>
      </c>
      <c r="D57" s="17">
        <f>E57+M57</f>
        <v>-84945</v>
      </c>
      <c r="E57" s="27">
        <f>F57+I57+J57+K57+L57</f>
        <v>-84945</v>
      </c>
      <c r="F57" s="27">
        <f>G57+H57</f>
        <v>0</v>
      </c>
      <c r="G57" s="27"/>
      <c r="H57" s="27"/>
      <c r="I57" s="27"/>
      <c r="J57" s="27"/>
      <c r="K57" s="27">
        <f>-87605+2261+399</f>
        <v>-84945</v>
      </c>
      <c r="L57" s="27"/>
      <c r="M57" s="27">
        <f>N57+P57</f>
        <v>0</v>
      </c>
      <c r="N57" s="27"/>
      <c r="O57" s="27"/>
      <c r="P57" s="27"/>
      <c r="Q57" s="35"/>
      <c r="R57" s="35"/>
      <c r="S57" s="28"/>
      <c r="T57" s="28"/>
      <c r="U57" s="28"/>
    </row>
    <row r="58" spans="1:21" s="19" customFormat="1">
      <c r="A58" s="1068"/>
      <c r="B58" s="1069"/>
      <c r="C58" s="41" t="s">
        <v>23</v>
      </c>
      <c r="D58" s="17">
        <f t="shared" ref="D58:P58" si="22">D56+D57</f>
        <v>1733062</v>
      </c>
      <c r="E58" s="27">
        <f t="shared" si="22"/>
        <v>1733062</v>
      </c>
      <c r="F58" s="27">
        <f t="shared" si="22"/>
        <v>20000</v>
      </c>
      <c r="G58" s="27">
        <f t="shared" si="22"/>
        <v>5000</v>
      </c>
      <c r="H58" s="27">
        <f t="shared" si="22"/>
        <v>15000</v>
      </c>
      <c r="I58" s="27">
        <f t="shared" si="22"/>
        <v>0</v>
      </c>
      <c r="J58" s="27">
        <f t="shared" si="22"/>
        <v>0</v>
      </c>
      <c r="K58" s="27">
        <f t="shared" si="22"/>
        <v>1713062</v>
      </c>
      <c r="L58" s="27">
        <f t="shared" si="22"/>
        <v>0</v>
      </c>
      <c r="M58" s="27">
        <f t="shared" si="22"/>
        <v>0</v>
      </c>
      <c r="N58" s="27">
        <f t="shared" si="22"/>
        <v>0</v>
      </c>
      <c r="O58" s="27">
        <f t="shared" si="22"/>
        <v>0</v>
      </c>
      <c r="P58" s="27">
        <f t="shared" si="22"/>
        <v>0</v>
      </c>
      <c r="Q58" s="35"/>
      <c r="R58" s="35"/>
      <c r="S58" s="28"/>
      <c r="T58" s="28"/>
      <c r="U58" s="28"/>
    </row>
    <row r="59" spans="1:21" s="19" customFormat="1" ht="13.15" hidden="1" customHeight="1">
      <c r="A59" s="1068" t="s">
        <v>51</v>
      </c>
      <c r="B59" s="1069" t="s">
        <v>37</v>
      </c>
      <c r="C59" s="41" t="s">
        <v>21</v>
      </c>
      <c r="D59" s="17">
        <f>E59+M59</f>
        <v>202608</v>
      </c>
      <c r="E59" s="27">
        <f>F59+I59+J59+K59+L59</f>
        <v>202608</v>
      </c>
      <c r="F59" s="27">
        <f>G59+H59</f>
        <v>0</v>
      </c>
      <c r="G59" s="27">
        <v>0</v>
      </c>
      <c r="H59" s="27">
        <v>0</v>
      </c>
      <c r="I59" s="27">
        <v>0</v>
      </c>
      <c r="J59" s="27">
        <v>0</v>
      </c>
      <c r="K59" s="27">
        <v>202608</v>
      </c>
      <c r="L59" s="27">
        <v>0</v>
      </c>
      <c r="M59" s="27">
        <f>N59+P59</f>
        <v>0</v>
      </c>
      <c r="N59" s="27">
        <v>0</v>
      </c>
      <c r="O59" s="27">
        <v>0</v>
      </c>
      <c r="P59" s="27">
        <v>0</v>
      </c>
      <c r="Q59" s="35"/>
      <c r="R59" s="35"/>
      <c r="S59" s="28"/>
      <c r="T59" s="28"/>
      <c r="U59" s="28"/>
    </row>
    <row r="60" spans="1:21" s="19" customFormat="1" hidden="1">
      <c r="A60" s="1068"/>
      <c r="B60" s="1069"/>
      <c r="C60" s="41" t="s">
        <v>22</v>
      </c>
      <c r="D60" s="17">
        <f>E60+M60</f>
        <v>0</v>
      </c>
      <c r="E60" s="27">
        <f>F60+I60+J60+K60+L60</f>
        <v>0</v>
      </c>
      <c r="F60" s="27">
        <f>G60+H60</f>
        <v>0</v>
      </c>
      <c r="G60" s="27"/>
      <c r="H60" s="27"/>
      <c r="I60" s="27"/>
      <c r="J60" s="27"/>
      <c r="K60" s="27"/>
      <c r="L60" s="27"/>
      <c r="M60" s="27">
        <f>N60+P60</f>
        <v>0</v>
      </c>
      <c r="N60" s="27"/>
      <c r="O60" s="27"/>
      <c r="P60" s="27"/>
      <c r="Q60" s="35"/>
      <c r="R60" s="35"/>
      <c r="S60" s="28"/>
      <c r="T60" s="28"/>
      <c r="U60" s="28"/>
    </row>
    <row r="61" spans="1:21" s="19" customFormat="1" hidden="1">
      <c r="A61" s="1068"/>
      <c r="B61" s="1069"/>
      <c r="C61" s="41" t="s">
        <v>23</v>
      </c>
      <c r="D61" s="17">
        <f t="shared" ref="D61:P61" si="23">D59+D60</f>
        <v>202608</v>
      </c>
      <c r="E61" s="27">
        <f t="shared" si="23"/>
        <v>202608</v>
      </c>
      <c r="F61" s="27">
        <f t="shared" si="23"/>
        <v>0</v>
      </c>
      <c r="G61" s="27">
        <f t="shared" si="23"/>
        <v>0</v>
      </c>
      <c r="H61" s="27">
        <f t="shared" si="23"/>
        <v>0</v>
      </c>
      <c r="I61" s="27">
        <f t="shared" si="23"/>
        <v>0</v>
      </c>
      <c r="J61" s="27">
        <f t="shared" si="23"/>
        <v>0</v>
      </c>
      <c r="K61" s="27">
        <f t="shared" si="23"/>
        <v>202608</v>
      </c>
      <c r="L61" s="27">
        <f t="shared" si="23"/>
        <v>0</v>
      </c>
      <c r="M61" s="27">
        <f t="shared" si="23"/>
        <v>0</v>
      </c>
      <c r="N61" s="27">
        <f t="shared" si="23"/>
        <v>0</v>
      </c>
      <c r="O61" s="27">
        <f t="shared" si="23"/>
        <v>0</v>
      </c>
      <c r="P61" s="27">
        <f t="shared" si="23"/>
        <v>0</v>
      </c>
      <c r="Q61" s="35"/>
      <c r="R61" s="35"/>
      <c r="S61" s="28"/>
      <c r="T61" s="28"/>
      <c r="U61" s="28"/>
    </row>
    <row r="62" spans="1:21" s="49" customFormat="1" ht="14.25">
      <c r="A62" s="1071" t="s">
        <v>52</v>
      </c>
      <c r="B62" s="1063" t="s">
        <v>53</v>
      </c>
      <c r="C62" s="46" t="s">
        <v>21</v>
      </c>
      <c r="D62" s="30">
        <f t="shared" ref="D62:P62" si="24">D65</f>
        <v>424950</v>
      </c>
      <c r="E62" s="31">
        <f t="shared" si="24"/>
        <v>424950</v>
      </c>
      <c r="F62" s="31">
        <f t="shared" si="24"/>
        <v>424950</v>
      </c>
      <c r="G62" s="31">
        <f t="shared" si="24"/>
        <v>294550</v>
      </c>
      <c r="H62" s="31">
        <f t="shared" si="24"/>
        <v>130400</v>
      </c>
      <c r="I62" s="31">
        <f t="shared" si="24"/>
        <v>0</v>
      </c>
      <c r="J62" s="31">
        <f t="shared" si="24"/>
        <v>0</v>
      </c>
      <c r="K62" s="31">
        <f t="shared" si="24"/>
        <v>0</v>
      </c>
      <c r="L62" s="31">
        <f t="shared" si="24"/>
        <v>0</v>
      </c>
      <c r="M62" s="31">
        <f t="shared" si="24"/>
        <v>0</v>
      </c>
      <c r="N62" s="31">
        <f t="shared" si="24"/>
        <v>0</v>
      </c>
      <c r="O62" s="31">
        <f t="shared" si="24"/>
        <v>0</v>
      </c>
      <c r="P62" s="31">
        <f t="shared" si="24"/>
        <v>0</v>
      </c>
      <c r="Q62" s="47"/>
      <c r="R62" s="47"/>
      <c r="S62" s="48"/>
      <c r="T62" s="48"/>
      <c r="U62" s="48"/>
    </row>
    <row r="63" spans="1:21" s="49" customFormat="1" ht="14.25">
      <c r="A63" s="1071"/>
      <c r="B63" s="1063"/>
      <c r="C63" s="46" t="s">
        <v>22</v>
      </c>
      <c r="D63" s="30">
        <f t="shared" ref="D63:P63" si="25">D66</f>
        <v>-31400</v>
      </c>
      <c r="E63" s="31">
        <f t="shared" si="25"/>
        <v>-31400</v>
      </c>
      <c r="F63" s="31">
        <f t="shared" si="25"/>
        <v>-31400</v>
      </c>
      <c r="G63" s="31">
        <f t="shared" si="25"/>
        <v>0</v>
      </c>
      <c r="H63" s="31">
        <f t="shared" si="25"/>
        <v>-31400</v>
      </c>
      <c r="I63" s="31">
        <f t="shared" si="25"/>
        <v>0</v>
      </c>
      <c r="J63" s="31">
        <f t="shared" si="25"/>
        <v>0</v>
      </c>
      <c r="K63" s="31">
        <f t="shared" si="25"/>
        <v>0</v>
      </c>
      <c r="L63" s="31">
        <f t="shared" si="25"/>
        <v>0</v>
      </c>
      <c r="M63" s="31">
        <f t="shared" si="25"/>
        <v>0</v>
      </c>
      <c r="N63" s="31">
        <f t="shared" si="25"/>
        <v>0</v>
      </c>
      <c r="O63" s="31">
        <f t="shared" si="25"/>
        <v>0</v>
      </c>
      <c r="P63" s="31">
        <f t="shared" si="25"/>
        <v>0</v>
      </c>
      <c r="Q63" s="47"/>
      <c r="R63" s="47"/>
      <c r="S63" s="48"/>
      <c r="T63" s="48"/>
      <c r="U63" s="48"/>
    </row>
    <row r="64" spans="1:21" s="49" customFormat="1" ht="14.25">
      <c r="A64" s="1071"/>
      <c r="B64" s="1063"/>
      <c r="C64" s="46" t="s">
        <v>23</v>
      </c>
      <c r="D64" s="30">
        <f t="shared" ref="D64:P64" si="26">D62+D63</f>
        <v>393550</v>
      </c>
      <c r="E64" s="31">
        <f t="shared" si="26"/>
        <v>393550</v>
      </c>
      <c r="F64" s="31">
        <f t="shared" si="26"/>
        <v>393550</v>
      </c>
      <c r="G64" s="31">
        <f t="shared" si="26"/>
        <v>294550</v>
      </c>
      <c r="H64" s="31">
        <f t="shared" si="26"/>
        <v>99000</v>
      </c>
      <c r="I64" s="31">
        <f t="shared" si="26"/>
        <v>0</v>
      </c>
      <c r="J64" s="31">
        <f t="shared" si="26"/>
        <v>0</v>
      </c>
      <c r="K64" s="31">
        <f t="shared" si="26"/>
        <v>0</v>
      </c>
      <c r="L64" s="31">
        <f t="shared" si="26"/>
        <v>0</v>
      </c>
      <c r="M64" s="31">
        <f t="shared" si="26"/>
        <v>0</v>
      </c>
      <c r="N64" s="31">
        <f t="shared" si="26"/>
        <v>0</v>
      </c>
      <c r="O64" s="31">
        <f t="shared" si="26"/>
        <v>0</v>
      </c>
      <c r="P64" s="31">
        <f t="shared" si="26"/>
        <v>0</v>
      </c>
      <c r="Q64" s="47"/>
      <c r="R64" s="47"/>
      <c r="S64" s="48"/>
      <c r="T64" s="48"/>
      <c r="U64" s="48"/>
    </row>
    <row r="65" spans="1:21" s="52" customFormat="1" ht="13.15" customHeight="1">
      <c r="A65" s="1068" t="s">
        <v>54</v>
      </c>
      <c r="B65" s="1065" t="s">
        <v>55</v>
      </c>
      <c r="C65" s="41" t="s">
        <v>21</v>
      </c>
      <c r="D65" s="17">
        <f>E65+M65</f>
        <v>424950</v>
      </c>
      <c r="E65" s="27">
        <f>F65+I65+J65+K65+L65</f>
        <v>424950</v>
      </c>
      <c r="F65" s="27">
        <f>G65+H65</f>
        <v>424950</v>
      </c>
      <c r="G65" s="27">
        <v>294550</v>
      </c>
      <c r="H65" s="27">
        <v>130400</v>
      </c>
      <c r="I65" s="27">
        <v>0</v>
      </c>
      <c r="J65" s="27">
        <v>0</v>
      </c>
      <c r="K65" s="27">
        <v>0</v>
      </c>
      <c r="L65" s="27">
        <v>0</v>
      </c>
      <c r="M65" s="27">
        <f>N65+P65</f>
        <v>0</v>
      </c>
      <c r="N65" s="27">
        <v>0</v>
      </c>
      <c r="O65" s="27">
        <v>0</v>
      </c>
      <c r="P65" s="27">
        <v>0</v>
      </c>
      <c r="Q65" s="50"/>
      <c r="R65" s="50"/>
      <c r="S65" s="51"/>
      <c r="T65" s="51"/>
      <c r="U65" s="51"/>
    </row>
    <row r="66" spans="1:21" s="52" customFormat="1">
      <c r="A66" s="1068"/>
      <c r="B66" s="1065"/>
      <c r="C66" s="41" t="s">
        <v>22</v>
      </c>
      <c r="D66" s="17">
        <f>E66+M66</f>
        <v>-31400</v>
      </c>
      <c r="E66" s="27">
        <f>F66+I66+J66+K66+L66</f>
        <v>-31400</v>
      </c>
      <c r="F66" s="27">
        <f>G66+H66</f>
        <v>-31400</v>
      </c>
      <c r="G66" s="27"/>
      <c r="H66" s="27">
        <v>-31400</v>
      </c>
      <c r="I66" s="27"/>
      <c r="J66" s="27"/>
      <c r="K66" s="27"/>
      <c r="L66" s="27"/>
      <c r="M66" s="27">
        <f>N66+P66</f>
        <v>0</v>
      </c>
      <c r="N66" s="27"/>
      <c r="O66" s="27"/>
      <c r="P66" s="27"/>
      <c r="Q66" s="50"/>
      <c r="R66" s="50"/>
      <c r="S66" s="51"/>
      <c r="T66" s="51"/>
      <c r="U66" s="51"/>
    </row>
    <row r="67" spans="1:21" s="52" customFormat="1">
      <c r="A67" s="1068"/>
      <c r="B67" s="1065"/>
      <c r="C67" s="41" t="s">
        <v>23</v>
      </c>
      <c r="D67" s="17">
        <f t="shared" ref="D67:P67" si="27">D65+D66</f>
        <v>393550</v>
      </c>
      <c r="E67" s="27">
        <f t="shared" si="27"/>
        <v>393550</v>
      </c>
      <c r="F67" s="27">
        <f t="shared" si="27"/>
        <v>393550</v>
      </c>
      <c r="G67" s="27">
        <f t="shared" si="27"/>
        <v>294550</v>
      </c>
      <c r="H67" s="27">
        <f t="shared" si="27"/>
        <v>99000</v>
      </c>
      <c r="I67" s="27">
        <f t="shared" si="27"/>
        <v>0</v>
      </c>
      <c r="J67" s="27">
        <f t="shared" si="27"/>
        <v>0</v>
      </c>
      <c r="K67" s="27">
        <f t="shared" si="27"/>
        <v>0</v>
      </c>
      <c r="L67" s="27">
        <f t="shared" si="27"/>
        <v>0</v>
      </c>
      <c r="M67" s="27">
        <f t="shared" si="27"/>
        <v>0</v>
      </c>
      <c r="N67" s="27">
        <f t="shared" si="27"/>
        <v>0</v>
      </c>
      <c r="O67" s="27">
        <f t="shared" si="27"/>
        <v>0</v>
      </c>
      <c r="P67" s="27">
        <f t="shared" si="27"/>
        <v>0</v>
      </c>
      <c r="Q67" s="50"/>
      <c r="R67" s="50"/>
      <c r="S67" s="51"/>
      <c r="T67" s="51"/>
      <c r="U67" s="51"/>
    </row>
    <row r="68" spans="1:21" s="45" customFormat="1" ht="14.25">
      <c r="A68" s="1071" t="s">
        <v>56</v>
      </c>
      <c r="B68" s="1063" t="s">
        <v>57</v>
      </c>
      <c r="C68" s="46" t="s">
        <v>21</v>
      </c>
      <c r="D68" s="30">
        <f t="shared" ref="D68:P68" si="28">D71+D74+D77+D83+D95+D89+D86+D80+D92</f>
        <v>380524620</v>
      </c>
      <c r="E68" s="31">
        <f t="shared" si="28"/>
        <v>212426637</v>
      </c>
      <c r="F68" s="31">
        <f t="shared" si="28"/>
        <v>72454434</v>
      </c>
      <c r="G68" s="31">
        <f t="shared" si="28"/>
        <v>14055858</v>
      </c>
      <c r="H68" s="31">
        <f t="shared" si="28"/>
        <v>58398576</v>
      </c>
      <c r="I68" s="31">
        <f t="shared" si="28"/>
        <v>139119765</v>
      </c>
      <c r="J68" s="31">
        <f t="shared" si="28"/>
        <v>82576</v>
      </c>
      <c r="K68" s="31">
        <f t="shared" si="28"/>
        <v>769862</v>
      </c>
      <c r="L68" s="31">
        <f t="shared" si="28"/>
        <v>0</v>
      </c>
      <c r="M68" s="31">
        <f t="shared" si="28"/>
        <v>168097983</v>
      </c>
      <c r="N68" s="31">
        <f t="shared" si="28"/>
        <v>154097913</v>
      </c>
      <c r="O68" s="31">
        <f t="shared" si="28"/>
        <v>71448108</v>
      </c>
      <c r="P68" s="31">
        <f t="shared" si="28"/>
        <v>14000070</v>
      </c>
      <c r="Q68" s="43"/>
      <c r="R68" s="43"/>
      <c r="S68" s="44"/>
      <c r="T68" s="44"/>
      <c r="U68" s="44"/>
    </row>
    <row r="69" spans="1:21" s="45" customFormat="1" ht="14.25">
      <c r="A69" s="1071"/>
      <c r="B69" s="1063"/>
      <c r="C69" s="46" t="s">
        <v>22</v>
      </c>
      <c r="D69" s="30">
        <f t="shared" ref="D69:P69" si="29">D72+D75+D78+D84+D96+D90+D87+D81+D93</f>
        <v>-13577482</v>
      </c>
      <c r="E69" s="31">
        <f t="shared" si="29"/>
        <v>-14000</v>
      </c>
      <c r="F69" s="31">
        <f t="shared" si="29"/>
        <v>-14000</v>
      </c>
      <c r="G69" s="31">
        <f t="shared" si="29"/>
        <v>0</v>
      </c>
      <c r="H69" s="31">
        <f t="shared" si="29"/>
        <v>-14000</v>
      </c>
      <c r="I69" s="31">
        <f t="shared" si="29"/>
        <v>0</v>
      </c>
      <c r="J69" s="31">
        <f t="shared" si="29"/>
        <v>0</v>
      </c>
      <c r="K69" s="31">
        <f t="shared" si="29"/>
        <v>0</v>
      </c>
      <c r="L69" s="31">
        <f t="shared" si="29"/>
        <v>0</v>
      </c>
      <c r="M69" s="31">
        <f t="shared" si="29"/>
        <v>-13563482</v>
      </c>
      <c r="N69" s="31">
        <f t="shared" si="29"/>
        <v>-13563482</v>
      </c>
      <c r="O69" s="31">
        <f t="shared" si="29"/>
        <v>-14764248</v>
      </c>
      <c r="P69" s="31">
        <f t="shared" si="29"/>
        <v>0</v>
      </c>
      <c r="Q69" s="43"/>
      <c r="R69" s="43"/>
      <c r="S69" s="44"/>
      <c r="T69" s="44"/>
      <c r="U69" s="44"/>
    </row>
    <row r="70" spans="1:21" s="45" customFormat="1" ht="14.25">
      <c r="A70" s="1071"/>
      <c r="B70" s="1063"/>
      <c r="C70" s="46" t="s">
        <v>23</v>
      </c>
      <c r="D70" s="30">
        <f t="shared" ref="D70:P70" si="30">D68+D69</f>
        <v>366947138</v>
      </c>
      <c r="E70" s="31">
        <f t="shared" si="30"/>
        <v>212412637</v>
      </c>
      <c r="F70" s="31">
        <f t="shared" si="30"/>
        <v>72440434</v>
      </c>
      <c r="G70" s="31">
        <f t="shared" si="30"/>
        <v>14055858</v>
      </c>
      <c r="H70" s="31">
        <f t="shared" si="30"/>
        <v>58384576</v>
      </c>
      <c r="I70" s="31">
        <f t="shared" si="30"/>
        <v>139119765</v>
      </c>
      <c r="J70" s="31">
        <f t="shared" si="30"/>
        <v>82576</v>
      </c>
      <c r="K70" s="31">
        <f t="shared" si="30"/>
        <v>769862</v>
      </c>
      <c r="L70" s="31">
        <f t="shared" si="30"/>
        <v>0</v>
      </c>
      <c r="M70" s="31">
        <f t="shared" si="30"/>
        <v>154534501</v>
      </c>
      <c r="N70" s="31">
        <f t="shared" si="30"/>
        <v>140534431</v>
      </c>
      <c r="O70" s="31">
        <f t="shared" si="30"/>
        <v>56683860</v>
      </c>
      <c r="P70" s="31">
        <f t="shared" si="30"/>
        <v>14000070</v>
      </c>
      <c r="Q70" s="43"/>
      <c r="R70" s="43"/>
      <c r="S70" s="44"/>
      <c r="T70" s="44"/>
      <c r="U70" s="44"/>
    </row>
    <row r="71" spans="1:21" s="19" customFormat="1" ht="13.15" hidden="1" customHeight="1">
      <c r="A71" s="1068" t="s">
        <v>58</v>
      </c>
      <c r="B71" s="1065" t="s">
        <v>59</v>
      </c>
      <c r="C71" s="41" t="s">
        <v>21</v>
      </c>
      <c r="D71" s="17">
        <f>E71+M71</f>
        <v>126503787</v>
      </c>
      <c r="E71" s="27">
        <f>F71+I71+J71+K71+L71</f>
        <v>126503787</v>
      </c>
      <c r="F71" s="27">
        <f>G71+H71</f>
        <v>25981052</v>
      </c>
      <c r="G71" s="27">
        <v>47856</v>
      </c>
      <c r="H71" s="27">
        <v>25933196</v>
      </c>
      <c r="I71" s="27">
        <v>100522735</v>
      </c>
      <c r="J71" s="27">
        <v>0</v>
      </c>
      <c r="K71" s="27">
        <v>0</v>
      </c>
      <c r="L71" s="27">
        <v>0</v>
      </c>
      <c r="M71" s="27">
        <f>N71+P71</f>
        <v>0</v>
      </c>
      <c r="N71" s="27">
        <v>0</v>
      </c>
      <c r="O71" s="27">
        <v>0</v>
      </c>
      <c r="P71" s="27">
        <v>0</v>
      </c>
      <c r="Q71" s="35"/>
      <c r="R71" s="35"/>
      <c r="S71" s="28"/>
      <c r="T71" s="28"/>
      <c r="U71" s="28"/>
    </row>
    <row r="72" spans="1:21" s="19" customFormat="1" hidden="1">
      <c r="A72" s="1068"/>
      <c r="B72" s="1065"/>
      <c r="C72" s="41" t="s">
        <v>22</v>
      </c>
      <c r="D72" s="17">
        <f>E72+M72</f>
        <v>0</v>
      </c>
      <c r="E72" s="27">
        <f>F72+I72+J72+K72+L72</f>
        <v>0</v>
      </c>
      <c r="F72" s="27">
        <f>G72+H72</f>
        <v>0</v>
      </c>
      <c r="G72" s="27"/>
      <c r="H72" s="27"/>
      <c r="I72" s="27"/>
      <c r="J72" s="27"/>
      <c r="K72" s="27"/>
      <c r="L72" s="27"/>
      <c r="M72" s="27">
        <f>N72+P72</f>
        <v>0</v>
      </c>
      <c r="N72" s="27"/>
      <c r="O72" s="27"/>
      <c r="P72" s="27"/>
      <c r="Q72" s="35"/>
      <c r="R72" s="35"/>
      <c r="S72" s="28"/>
      <c r="T72" s="28"/>
      <c r="U72" s="28"/>
    </row>
    <row r="73" spans="1:21" s="19" customFormat="1" hidden="1">
      <c r="A73" s="1068"/>
      <c r="B73" s="1065"/>
      <c r="C73" s="41" t="s">
        <v>23</v>
      </c>
      <c r="D73" s="17">
        <f t="shared" ref="D73:P73" si="31">D71+D72</f>
        <v>126503787</v>
      </c>
      <c r="E73" s="27">
        <f t="shared" si="31"/>
        <v>126503787</v>
      </c>
      <c r="F73" s="27">
        <f t="shared" si="31"/>
        <v>25981052</v>
      </c>
      <c r="G73" s="27">
        <f t="shared" si="31"/>
        <v>47856</v>
      </c>
      <c r="H73" s="27">
        <f t="shared" si="31"/>
        <v>25933196</v>
      </c>
      <c r="I73" s="27">
        <f t="shared" si="31"/>
        <v>100522735</v>
      </c>
      <c r="J73" s="27">
        <f t="shared" si="31"/>
        <v>0</v>
      </c>
      <c r="K73" s="27">
        <f t="shared" si="31"/>
        <v>0</v>
      </c>
      <c r="L73" s="27">
        <f t="shared" si="31"/>
        <v>0</v>
      </c>
      <c r="M73" s="27">
        <f t="shared" si="31"/>
        <v>0</v>
      </c>
      <c r="N73" s="27">
        <f t="shared" si="31"/>
        <v>0</v>
      </c>
      <c r="O73" s="27">
        <f t="shared" si="31"/>
        <v>0</v>
      </c>
      <c r="P73" s="27">
        <f t="shared" si="31"/>
        <v>0</v>
      </c>
      <c r="Q73" s="35"/>
      <c r="R73" s="35"/>
      <c r="S73" s="28"/>
      <c r="T73" s="28"/>
      <c r="U73" s="28"/>
    </row>
    <row r="74" spans="1:21" s="19" customFormat="1" ht="13.15" hidden="1" customHeight="1">
      <c r="A74" s="1068" t="s">
        <v>60</v>
      </c>
      <c r="B74" s="1065" t="s">
        <v>61</v>
      </c>
      <c r="C74" s="26" t="s">
        <v>21</v>
      </c>
      <c r="D74" s="17">
        <f>E74+M74</f>
        <v>200000</v>
      </c>
      <c r="E74" s="27">
        <f>F74+I74+J74+K74+L74</f>
        <v>0</v>
      </c>
      <c r="F74" s="27">
        <f>G74+H74</f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f>N74+P74</f>
        <v>200000</v>
      </c>
      <c r="N74" s="27">
        <v>200000</v>
      </c>
      <c r="O74" s="27">
        <v>0</v>
      </c>
      <c r="P74" s="27">
        <v>0</v>
      </c>
      <c r="Q74" s="35"/>
      <c r="R74" s="35"/>
      <c r="S74" s="28"/>
      <c r="T74" s="28"/>
      <c r="U74" s="28"/>
    </row>
    <row r="75" spans="1:21" s="19" customFormat="1" hidden="1">
      <c r="A75" s="1068"/>
      <c r="B75" s="1065"/>
      <c r="C75" s="26" t="s">
        <v>22</v>
      </c>
      <c r="D75" s="17">
        <f>E75+M75</f>
        <v>0</v>
      </c>
      <c r="E75" s="27">
        <f>F75+I75+J75+K75+L75</f>
        <v>0</v>
      </c>
      <c r="F75" s="27">
        <f>G75+H75</f>
        <v>0</v>
      </c>
      <c r="G75" s="27"/>
      <c r="H75" s="27"/>
      <c r="I75" s="27"/>
      <c r="J75" s="27"/>
      <c r="K75" s="27"/>
      <c r="L75" s="27"/>
      <c r="M75" s="27">
        <f>N75+P75</f>
        <v>0</v>
      </c>
      <c r="N75" s="27"/>
      <c r="O75" s="27"/>
      <c r="P75" s="27"/>
      <c r="Q75" s="35"/>
      <c r="R75" s="35"/>
      <c r="S75" s="28"/>
      <c r="T75" s="28"/>
      <c r="U75" s="28"/>
    </row>
    <row r="76" spans="1:21" s="19" customFormat="1" hidden="1">
      <c r="A76" s="1068"/>
      <c r="B76" s="1065"/>
      <c r="C76" s="26" t="s">
        <v>23</v>
      </c>
      <c r="D76" s="17">
        <f t="shared" ref="D76:P76" si="32">D74+D75</f>
        <v>200000</v>
      </c>
      <c r="E76" s="27">
        <f t="shared" si="32"/>
        <v>0</v>
      </c>
      <c r="F76" s="27">
        <f t="shared" si="32"/>
        <v>0</v>
      </c>
      <c r="G76" s="27">
        <f t="shared" si="32"/>
        <v>0</v>
      </c>
      <c r="H76" s="27">
        <f t="shared" si="32"/>
        <v>0</v>
      </c>
      <c r="I76" s="27">
        <f t="shared" si="32"/>
        <v>0</v>
      </c>
      <c r="J76" s="27">
        <f t="shared" si="32"/>
        <v>0</v>
      </c>
      <c r="K76" s="27">
        <f t="shared" si="32"/>
        <v>0</v>
      </c>
      <c r="L76" s="27">
        <f t="shared" si="32"/>
        <v>0</v>
      </c>
      <c r="M76" s="27">
        <f t="shared" si="32"/>
        <v>200000</v>
      </c>
      <c r="N76" s="27">
        <f t="shared" si="32"/>
        <v>200000</v>
      </c>
      <c r="O76" s="27">
        <f t="shared" si="32"/>
        <v>0</v>
      </c>
      <c r="P76" s="27">
        <f t="shared" si="32"/>
        <v>0</v>
      </c>
      <c r="Q76" s="35"/>
      <c r="R76" s="35"/>
      <c r="S76" s="28"/>
      <c r="T76" s="28"/>
      <c r="U76" s="28"/>
    </row>
    <row r="77" spans="1:21" s="19" customFormat="1" ht="13.15" hidden="1" customHeight="1">
      <c r="A77" s="1068" t="s">
        <v>62</v>
      </c>
      <c r="B77" s="1065" t="s">
        <v>63</v>
      </c>
      <c r="C77" s="26" t="s">
        <v>21</v>
      </c>
      <c r="D77" s="17">
        <f>E77+M77</f>
        <v>30343831</v>
      </c>
      <c r="E77" s="27">
        <f>F77+I77+J77+K77+L77</f>
        <v>30343831</v>
      </c>
      <c r="F77" s="27">
        <f>G77+H77</f>
        <v>0</v>
      </c>
      <c r="G77" s="27">
        <v>0</v>
      </c>
      <c r="H77" s="27">
        <v>0</v>
      </c>
      <c r="I77" s="27">
        <v>30343831</v>
      </c>
      <c r="J77" s="27">
        <v>0</v>
      </c>
      <c r="K77" s="27">
        <v>0</v>
      </c>
      <c r="L77" s="27">
        <v>0</v>
      </c>
      <c r="M77" s="27">
        <f>N77+P77</f>
        <v>0</v>
      </c>
      <c r="N77" s="27">
        <v>0</v>
      </c>
      <c r="O77" s="27">
        <v>0</v>
      </c>
      <c r="P77" s="27">
        <v>0</v>
      </c>
      <c r="Q77" s="35"/>
      <c r="R77" s="35"/>
      <c r="S77" s="28"/>
      <c r="T77" s="28"/>
      <c r="U77" s="28"/>
    </row>
    <row r="78" spans="1:21" s="19" customFormat="1" hidden="1">
      <c r="A78" s="1068"/>
      <c r="B78" s="1065"/>
      <c r="C78" s="26" t="s">
        <v>22</v>
      </c>
      <c r="D78" s="17">
        <f>E78+M78</f>
        <v>0</v>
      </c>
      <c r="E78" s="27">
        <f>F78+I78+J78+K78+L78</f>
        <v>0</v>
      </c>
      <c r="F78" s="27">
        <f>G78+H78</f>
        <v>0</v>
      </c>
      <c r="G78" s="27"/>
      <c r="H78" s="27"/>
      <c r="I78" s="27"/>
      <c r="J78" s="27"/>
      <c r="K78" s="27"/>
      <c r="L78" s="27"/>
      <c r="M78" s="27">
        <f>N78+P78</f>
        <v>0</v>
      </c>
      <c r="N78" s="27"/>
      <c r="O78" s="27"/>
      <c r="P78" s="27"/>
      <c r="Q78" s="35"/>
      <c r="R78" s="35"/>
      <c r="S78" s="28"/>
      <c r="T78" s="28"/>
      <c r="U78" s="28"/>
    </row>
    <row r="79" spans="1:21" s="19" customFormat="1" hidden="1">
      <c r="A79" s="1068"/>
      <c r="B79" s="1065"/>
      <c r="C79" s="26" t="s">
        <v>23</v>
      </c>
      <c r="D79" s="17">
        <f t="shared" ref="D79:P79" si="33">D77+D78</f>
        <v>30343831</v>
      </c>
      <c r="E79" s="27">
        <f t="shared" si="33"/>
        <v>30343831</v>
      </c>
      <c r="F79" s="27">
        <f t="shared" si="33"/>
        <v>0</v>
      </c>
      <c r="G79" s="27">
        <f t="shared" si="33"/>
        <v>0</v>
      </c>
      <c r="H79" s="27">
        <f t="shared" si="33"/>
        <v>0</v>
      </c>
      <c r="I79" s="27">
        <f t="shared" si="33"/>
        <v>30343831</v>
      </c>
      <c r="J79" s="27">
        <f t="shared" si="33"/>
        <v>0</v>
      </c>
      <c r="K79" s="27">
        <f t="shared" si="33"/>
        <v>0</v>
      </c>
      <c r="L79" s="27">
        <f t="shared" si="33"/>
        <v>0</v>
      </c>
      <c r="M79" s="27">
        <f t="shared" si="33"/>
        <v>0</v>
      </c>
      <c r="N79" s="27">
        <f t="shared" si="33"/>
        <v>0</v>
      </c>
      <c r="O79" s="27">
        <f t="shared" si="33"/>
        <v>0</v>
      </c>
      <c r="P79" s="27">
        <f t="shared" si="33"/>
        <v>0</v>
      </c>
      <c r="Q79" s="35"/>
      <c r="R79" s="35"/>
      <c r="S79" s="28"/>
      <c r="T79" s="28"/>
      <c r="U79" s="28"/>
    </row>
    <row r="80" spans="1:21" s="19" customFormat="1" ht="13.15" hidden="1" customHeight="1">
      <c r="A80" s="1067">
        <v>60004</v>
      </c>
      <c r="B80" s="1065" t="s">
        <v>64</v>
      </c>
      <c r="C80" s="26" t="s">
        <v>21</v>
      </c>
      <c r="D80" s="17">
        <f>E80+M80</f>
        <v>8203199</v>
      </c>
      <c r="E80" s="27">
        <f>F80+I80+J80+K80+L80</f>
        <v>8203199</v>
      </c>
      <c r="F80" s="27">
        <f>G80+H80</f>
        <v>0</v>
      </c>
      <c r="G80" s="27">
        <v>0</v>
      </c>
      <c r="H80" s="27">
        <v>0</v>
      </c>
      <c r="I80" s="27">
        <v>8203199</v>
      </c>
      <c r="J80" s="27">
        <v>0</v>
      </c>
      <c r="K80" s="27">
        <v>0</v>
      </c>
      <c r="L80" s="27">
        <v>0</v>
      </c>
      <c r="M80" s="27">
        <f>N80+P80</f>
        <v>0</v>
      </c>
      <c r="N80" s="27">
        <v>0</v>
      </c>
      <c r="O80" s="27">
        <v>0</v>
      </c>
      <c r="P80" s="27">
        <v>0</v>
      </c>
      <c r="Q80" s="35"/>
      <c r="R80" s="35"/>
      <c r="S80" s="28"/>
      <c r="T80" s="28"/>
      <c r="U80" s="28"/>
    </row>
    <row r="81" spans="1:21" s="19" customFormat="1" hidden="1">
      <c r="A81" s="1067"/>
      <c r="B81" s="1065"/>
      <c r="C81" s="26" t="s">
        <v>22</v>
      </c>
      <c r="D81" s="17">
        <f>E81+M81</f>
        <v>0</v>
      </c>
      <c r="E81" s="27">
        <f>F81+I81+J81+K81+L81</f>
        <v>0</v>
      </c>
      <c r="F81" s="27">
        <f>G81+H81</f>
        <v>0</v>
      </c>
      <c r="G81" s="27"/>
      <c r="H81" s="27"/>
      <c r="I81" s="27"/>
      <c r="J81" s="27"/>
      <c r="K81" s="27"/>
      <c r="L81" s="27"/>
      <c r="M81" s="27">
        <f>N81+P81</f>
        <v>0</v>
      </c>
      <c r="N81" s="27"/>
      <c r="O81" s="27"/>
      <c r="P81" s="27"/>
      <c r="Q81" s="35"/>
      <c r="R81" s="35"/>
      <c r="S81" s="28"/>
      <c r="T81" s="28"/>
      <c r="U81" s="28"/>
    </row>
    <row r="82" spans="1:21" s="19" customFormat="1" hidden="1">
      <c r="A82" s="1067"/>
      <c r="B82" s="1065"/>
      <c r="C82" s="26" t="s">
        <v>23</v>
      </c>
      <c r="D82" s="17">
        <f t="shared" ref="D82:P82" si="34">D80+D81</f>
        <v>8203199</v>
      </c>
      <c r="E82" s="27">
        <f t="shared" si="34"/>
        <v>8203199</v>
      </c>
      <c r="F82" s="27">
        <f t="shared" si="34"/>
        <v>0</v>
      </c>
      <c r="G82" s="27">
        <f t="shared" si="34"/>
        <v>0</v>
      </c>
      <c r="H82" s="27">
        <f t="shared" si="34"/>
        <v>0</v>
      </c>
      <c r="I82" s="27">
        <f t="shared" si="34"/>
        <v>8203199</v>
      </c>
      <c r="J82" s="27">
        <f t="shared" si="34"/>
        <v>0</v>
      </c>
      <c r="K82" s="27">
        <f t="shared" si="34"/>
        <v>0</v>
      </c>
      <c r="L82" s="27">
        <f t="shared" si="34"/>
        <v>0</v>
      </c>
      <c r="M82" s="27">
        <f t="shared" si="34"/>
        <v>0</v>
      </c>
      <c r="N82" s="27">
        <f t="shared" si="34"/>
        <v>0</v>
      </c>
      <c r="O82" s="27">
        <f t="shared" si="34"/>
        <v>0</v>
      </c>
      <c r="P82" s="27">
        <f t="shared" si="34"/>
        <v>0</v>
      </c>
      <c r="Q82" s="35"/>
      <c r="R82" s="35"/>
      <c r="S82" s="28"/>
      <c r="T82" s="28"/>
      <c r="U82" s="28"/>
    </row>
    <row r="83" spans="1:21" s="19" customFormat="1" ht="13.15" customHeight="1">
      <c r="A83" s="1068" t="s">
        <v>65</v>
      </c>
      <c r="B83" s="1065" t="s">
        <v>66</v>
      </c>
      <c r="C83" s="26" t="s">
        <v>21</v>
      </c>
      <c r="D83" s="17">
        <f>E83+M83</f>
        <v>194046314</v>
      </c>
      <c r="E83" s="27">
        <f>F83+I83+J83+K83+L83</f>
        <v>46558414</v>
      </c>
      <c r="F83" s="27">
        <f>G83+H83</f>
        <v>46090382</v>
      </c>
      <c r="G83" s="27">
        <v>13838102</v>
      </c>
      <c r="H83" s="27">
        <v>32252280</v>
      </c>
      <c r="I83" s="27">
        <v>0</v>
      </c>
      <c r="J83" s="27">
        <v>82576</v>
      </c>
      <c r="K83" s="27">
        <v>385456</v>
      </c>
      <c r="L83" s="27">
        <v>0</v>
      </c>
      <c r="M83" s="27">
        <f>N83+P83</f>
        <v>147487900</v>
      </c>
      <c r="N83" s="27">
        <v>147487900</v>
      </c>
      <c r="O83" s="27">
        <v>71448108</v>
      </c>
      <c r="P83" s="27">
        <v>0</v>
      </c>
      <c r="Q83" s="35"/>
      <c r="R83" s="35"/>
      <c r="S83" s="28"/>
      <c r="T83" s="28"/>
      <c r="U83" s="28"/>
    </row>
    <row r="84" spans="1:21" s="19" customFormat="1">
      <c r="A84" s="1068"/>
      <c r="B84" s="1065"/>
      <c r="C84" s="26" t="s">
        <v>22</v>
      </c>
      <c r="D84" s="17">
        <f>E84+M84</f>
        <v>-13563482</v>
      </c>
      <c r="E84" s="27">
        <f>F84+I84+J84+K84+L84</f>
        <v>0</v>
      </c>
      <c r="F84" s="27">
        <f>G84+H84</f>
        <v>0</v>
      </c>
      <c r="G84" s="27"/>
      <c r="H84" s="27"/>
      <c r="I84" s="27"/>
      <c r="J84" s="27"/>
      <c r="K84" s="27"/>
      <c r="L84" s="27"/>
      <c r="M84" s="27">
        <f>N84+P84</f>
        <v>-13563482</v>
      </c>
      <c r="N84" s="27">
        <f>2635000-16198482</f>
        <v>-13563482</v>
      </c>
      <c r="O84" s="27">
        <v>-14764248</v>
      </c>
      <c r="P84" s="27"/>
      <c r="Q84" s="35"/>
      <c r="R84" s="35"/>
      <c r="S84" s="28"/>
      <c r="T84" s="28"/>
      <c r="U84" s="28"/>
    </row>
    <row r="85" spans="1:21" s="19" customFormat="1">
      <c r="A85" s="1068"/>
      <c r="B85" s="1065"/>
      <c r="C85" s="26" t="s">
        <v>23</v>
      </c>
      <c r="D85" s="17">
        <f t="shared" ref="D85:P85" si="35">D83+D84</f>
        <v>180482832</v>
      </c>
      <c r="E85" s="27">
        <f t="shared" si="35"/>
        <v>46558414</v>
      </c>
      <c r="F85" s="27">
        <f t="shared" si="35"/>
        <v>46090382</v>
      </c>
      <c r="G85" s="27">
        <f t="shared" si="35"/>
        <v>13838102</v>
      </c>
      <c r="H85" s="27">
        <f t="shared" si="35"/>
        <v>32252280</v>
      </c>
      <c r="I85" s="27">
        <f t="shared" si="35"/>
        <v>0</v>
      </c>
      <c r="J85" s="27">
        <f t="shared" si="35"/>
        <v>82576</v>
      </c>
      <c r="K85" s="27">
        <f t="shared" si="35"/>
        <v>385456</v>
      </c>
      <c r="L85" s="27">
        <f t="shared" si="35"/>
        <v>0</v>
      </c>
      <c r="M85" s="27">
        <f t="shared" si="35"/>
        <v>133924418</v>
      </c>
      <c r="N85" s="27">
        <f t="shared" si="35"/>
        <v>133924418</v>
      </c>
      <c r="O85" s="27">
        <f t="shared" si="35"/>
        <v>56683860</v>
      </c>
      <c r="P85" s="27">
        <f t="shared" si="35"/>
        <v>0</v>
      </c>
      <c r="Q85" s="35"/>
      <c r="R85" s="35"/>
      <c r="S85" s="28"/>
      <c r="T85" s="28"/>
      <c r="U85" s="28"/>
    </row>
    <row r="86" spans="1:21" s="19" customFormat="1" ht="13.15" hidden="1" customHeight="1">
      <c r="A86" s="1068" t="s">
        <v>67</v>
      </c>
      <c r="B86" s="1065" t="s">
        <v>68</v>
      </c>
      <c r="C86" s="26" t="s">
        <v>21</v>
      </c>
      <c r="D86" s="17">
        <f>E86+M86</f>
        <v>6260013</v>
      </c>
      <c r="E86" s="27">
        <f>F86+I86+J86+K86+L86</f>
        <v>0</v>
      </c>
      <c r="F86" s="27">
        <f>G86+H86</f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f>N86+P86</f>
        <v>6260013</v>
      </c>
      <c r="N86" s="27">
        <v>6260013</v>
      </c>
      <c r="O86" s="27">
        <v>0</v>
      </c>
      <c r="P86" s="27">
        <v>0</v>
      </c>
      <c r="Q86" s="35"/>
      <c r="R86" s="35"/>
      <c r="S86" s="28"/>
      <c r="T86" s="28"/>
      <c r="U86" s="28"/>
    </row>
    <row r="87" spans="1:21" s="19" customFormat="1" hidden="1">
      <c r="A87" s="1068"/>
      <c r="B87" s="1065"/>
      <c r="C87" s="26" t="s">
        <v>22</v>
      </c>
      <c r="D87" s="17">
        <f>E87+M87</f>
        <v>0</v>
      </c>
      <c r="E87" s="27">
        <f>F87+I87+J87+K87+L87</f>
        <v>0</v>
      </c>
      <c r="F87" s="27">
        <f>G87+H87</f>
        <v>0</v>
      </c>
      <c r="G87" s="27"/>
      <c r="H87" s="27"/>
      <c r="I87" s="27"/>
      <c r="J87" s="27"/>
      <c r="K87" s="27"/>
      <c r="L87" s="27"/>
      <c r="M87" s="27">
        <f>N87+P87</f>
        <v>0</v>
      </c>
      <c r="N87" s="27"/>
      <c r="O87" s="27"/>
      <c r="P87" s="27"/>
      <c r="Q87" s="35"/>
      <c r="R87" s="35"/>
      <c r="S87" s="28"/>
      <c r="T87" s="28"/>
      <c r="U87" s="28"/>
    </row>
    <row r="88" spans="1:21" s="19" customFormat="1" hidden="1">
      <c r="A88" s="1068"/>
      <c r="B88" s="1065"/>
      <c r="C88" s="26" t="s">
        <v>23</v>
      </c>
      <c r="D88" s="17">
        <f t="shared" ref="D88:P88" si="36">D86+D87</f>
        <v>6260013</v>
      </c>
      <c r="E88" s="27">
        <f t="shared" si="36"/>
        <v>0</v>
      </c>
      <c r="F88" s="27">
        <f t="shared" si="36"/>
        <v>0</v>
      </c>
      <c r="G88" s="27">
        <f t="shared" si="36"/>
        <v>0</v>
      </c>
      <c r="H88" s="27">
        <f t="shared" si="36"/>
        <v>0</v>
      </c>
      <c r="I88" s="27">
        <f t="shared" si="36"/>
        <v>0</v>
      </c>
      <c r="J88" s="27">
        <f t="shared" si="36"/>
        <v>0</v>
      </c>
      <c r="K88" s="27">
        <f t="shared" si="36"/>
        <v>0</v>
      </c>
      <c r="L88" s="27">
        <f t="shared" si="36"/>
        <v>0</v>
      </c>
      <c r="M88" s="27">
        <f t="shared" si="36"/>
        <v>6260013</v>
      </c>
      <c r="N88" s="27">
        <f t="shared" si="36"/>
        <v>6260013</v>
      </c>
      <c r="O88" s="27">
        <f t="shared" si="36"/>
        <v>0</v>
      </c>
      <c r="P88" s="27">
        <f t="shared" si="36"/>
        <v>0</v>
      </c>
      <c r="Q88" s="35"/>
      <c r="R88" s="35"/>
      <c r="S88" s="28"/>
      <c r="T88" s="28"/>
      <c r="U88" s="28"/>
    </row>
    <row r="89" spans="1:21" s="19" customFormat="1" ht="13.15" hidden="1" customHeight="1">
      <c r="A89" s="1068" t="s">
        <v>69</v>
      </c>
      <c r="B89" s="1065" t="s">
        <v>70</v>
      </c>
      <c r="C89" s="26" t="s">
        <v>21</v>
      </c>
      <c r="D89" s="17">
        <f>E89+M89</f>
        <v>150000</v>
      </c>
      <c r="E89" s="27">
        <f>F89+I89+J89+K89+L89</f>
        <v>0</v>
      </c>
      <c r="F89" s="27">
        <f>G89+H89</f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f>N89+P89</f>
        <v>150000</v>
      </c>
      <c r="N89" s="27">
        <v>150000</v>
      </c>
      <c r="O89" s="27">
        <v>0</v>
      </c>
      <c r="P89" s="27">
        <v>0</v>
      </c>
      <c r="Q89" s="35"/>
      <c r="R89" s="35"/>
      <c r="S89" s="28"/>
      <c r="T89" s="28"/>
      <c r="U89" s="28"/>
    </row>
    <row r="90" spans="1:21" s="19" customFormat="1" hidden="1">
      <c r="A90" s="1068"/>
      <c r="B90" s="1065"/>
      <c r="C90" s="26" t="s">
        <v>22</v>
      </c>
      <c r="D90" s="17">
        <f>E90+M90</f>
        <v>0</v>
      </c>
      <c r="E90" s="27">
        <f>F90+I90+J90+K90+L90</f>
        <v>0</v>
      </c>
      <c r="F90" s="27">
        <f>G90+H90</f>
        <v>0</v>
      </c>
      <c r="G90" s="27"/>
      <c r="H90" s="27"/>
      <c r="I90" s="27"/>
      <c r="J90" s="27"/>
      <c r="K90" s="27"/>
      <c r="L90" s="27"/>
      <c r="M90" s="27">
        <f>N90+P90</f>
        <v>0</v>
      </c>
      <c r="N90" s="27"/>
      <c r="O90" s="27"/>
      <c r="P90" s="27"/>
      <c r="Q90" s="35"/>
      <c r="R90" s="35"/>
      <c r="S90" s="28"/>
      <c r="T90" s="28"/>
      <c r="U90" s="28"/>
    </row>
    <row r="91" spans="1:21" s="19" customFormat="1" hidden="1">
      <c r="A91" s="1068"/>
      <c r="B91" s="1065"/>
      <c r="C91" s="26" t="s">
        <v>23</v>
      </c>
      <c r="D91" s="17">
        <f t="shared" ref="D91:P91" si="37">D89+D90</f>
        <v>150000</v>
      </c>
      <c r="E91" s="27">
        <f t="shared" si="37"/>
        <v>0</v>
      </c>
      <c r="F91" s="27">
        <f t="shared" si="37"/>
        <v>0</v>
      </c>
      <c r="G91" s="27">
        <f t="shared" si="37"/>
        <v>0</v>
      </c>
      <c r="H91" s="27">
        <f t="shared" si="37"/>
        <v>0</v>
      </c>
      <c r="I91" s="27">
        <f t="shared" si="37"/>
        <v>0</v>
      </c>
      <c r="J91" s="27">
        <f t="shared" si="37"/>
        <v>0</v>
      </c>
      <c r="K91" s="27">
        <f t="shared" si="37"/>
        <v>0</v>
      </c>
      <c r="L91" s="27">
        <f t="shared" si="37"/>
        <v>0</v>
      </c>
      <c r="M91" s="27">
        <f t="shared" si="37"/>
        <v>150000</v>
      </c>
      <c r="N91" s="27">
        <f t="shared" si="37"/>
        <v>150000</v>
      </c>
      <c r="O91" s="27">
        <f t="shared" si="37"/>
        <v>0</v>
      </c>
      <c r="P91" s="27">
        <f t="shared" si="37"/>
        <v>0</v>
      </c>
      <c r="Q91" s="35"/>
      <c r="R91" s="35"/>
      <c r="S91" s="28"/>
      <c r="T91" s="28"/>
      <c r="U91" s="28"/>
    </row>
    <row r="92" spans="1:21" s="19" customFormat="1" ht="13.15" hidden="1" customHeight="1">
      <c r="A92" s="1067">
        <v>60041</v>
      </c>
      <c r="B92" s="1065" t="s">
        <v>71</v>
      </c>
      <c r="C92" s="26" t="s">
        <v>21</v>
      </c>
      <c r="D92" s="17">
        <f>E92+M92</f>
        <v>14000070</v>
      </c>
      <c r="E92" s="27">
        <f>F92+I92+J92+K92+L92</f>
        <v>0</v>
      </c>
      <c r="F92" s="27">
        <f>G92+H92</f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f>N92+P92</f>
        <v>14000070</v>
      </c>
      <c r="N92" s="27">
        <v>0</v>
      </c>
      <c r="O92" s="27">
        <v>0</v>
      </c>
      <c r="P92" s="27">
        <v>14000070</v>
      </c>
      <c r="Q92" s="35"/>
      <c r="R92" s="35"/>
      <c r="S92" s="28"/>
      <c r="T92" s="28"/>
      <c r="U92" s="28"/>
    </row>
    <row r="93" spans="1:21" s="19" customFormat="1" hidden="1">
      <c r="A93" s="1067"/>
      <c r="B93" s="1065"/>
      <c r="C93" s="26" t="s">
        <v>22</v>
      </c>
      <c r="D93" s="17">
        <f>E93+M93</f>
        <v>0</v>
      </c>
      <c r="E93" s="27">
        <f>F93+I93+J93+K93+L93</f>
        <v>0</v>
      </c>
      <c r="F93" s="27">
        <f>G93+H93</f>
        <v>0</v>
      </c>
      <c r="G93" s="27"/>
      <c r="H93" s="27"/>
      <c r="I93" s="27"/>
      <c r="J93" s="27"/>
      <c r="K93" s="27"/>
      <c r="L93" s="27"/>
      <c r="M93" s="27">
        <f>N93+P93</f>
        <v>0</v>
      </c>
      <c r="N93" s="27"/>
      <c r="O93" s="27"/>
      <c r="P93" s="27"/>
      <c r="Q93" s="35"/>
      <c r="R93" s="35"/>
      <c r="S93" s="28"/>
      <c r="T93" s="28"/>
      <c r="U93" s="28"/>
    </row>
    <row r="94" spans="1:21" s="19" customFormat="1" hidden="1">
      <c r="A94" s="1067"/>
      <c r="B94" s="1065"/>
      <c r="C94" s="26" t="s">
        <v>23</v>
      </c>
      <c r="D94" s="17">
        <f t="shared" ref="D94:P94" si="38">D92+D93</f>
        <v>14000070</v>
      </c>
      <c r="E94" s="27">
        <f t="shared" si="38"/>
        <v>0</v>
      </c>
      <c r="F94" s="27">
        <f t="shared" si="38"/>
        <v>0</v>
      </c>
      <c r="G94" s="27">
        <f t="shared" si="38"/>
        <v>0</v>
      </c>
      <c r="H94" s="27">
        <f t="shared" si="38"/>
        <v>0</v>
      </c>
      <c r="I94" s="27">
        <f t="shared" si="38"/>
        <v>0</v>
      </c>
      <c r="J94" s="27">
        <f t="shared" si="38"/>
        <v>0</v>
      </c>
      <c r="K94" s="27">
        <f t="shared" si="38"/>
        <v>0</v>
      </c>
      <c r="L94" s="27">
        <f t="shared" si="38"/>
        <v>0</v>
      </c>
      <c r="M94" s="27">
        <f t="shared" si="38"/>
        <v>14000070</v>
      </c>
      <c r="N94" s="27">
        <f t="shared" si="38"/>
        <v>0</v>
      </c>
      <c r="O94" s="27">
        <f t="shared" si="38"/>
        <v>0</v>
      </c>
      <c r="P94" s="27">
        <f t="shared" si="38"/>
        <v>14000070</v>
      </c>
      <c r="Q94" s="35"/>
      <c r="R94" s="35"/>
      <c r="S94" s="28"/>
      <c r="T94" s="28"/>
      <c r="U94" s="28"/>
    </row>
    <row r="95" spans="1:21" s="19" customFormat="1" ht="13.15" customHeight="1">
      <c r="A95" s="1068" t="s">
        <v>72</v>
      </c>
      <c r="B95" s="1065" t="s">
        <v>37</v>
      </c>
      <c r="C95" s="26" t="s">
        <v>21</v>
      </c>
      <c r="D95" s="17">
        <f>E95+M95</f>
        <v>817406</v>
      </c>
      <c r="E95" s="27">
        <f>F95+I95+J95+K95+L95</f>
        <v>817406</v>
      </c>
      <c r="F95" s="27">
        <f>G95+H95</f>
        <v>383000</v>
      </c>
      <c r="G95" s="27">
        <v>169900</v>
      </c>
      <c r="H95" s="27">
        <v>213100</v>
      </c>
      <c r="I95" s="27">
        <v>50000</v>
      </c>
      <c r="J95" s="27">
        <v>0</v>
      </c>
      <c r="K95" s="27">
        <v>384406</v>
      </c>
      <c r="L95" s="27">
        <v>0</v>
      </c>
      <c r="M95" s="27">
        <f>N95+P95</f>
        <v>0</v>
      </c>
      <c r="N95" s="27">
        <v>0</v>
      </c>
      <c r="O95" s="27">
        <v>0</v>
      </c>
      <c r="P95" s="27">
        <v>0</v>
      </c>
      <c r="Q95" s="35"/>
      <c r="R95" s="35"/>
      <c r="S95" s="28"/>
      <c r="T95" s="28"/>
      <c r="U95" s="28"/>
    </row>
    <row r="96" spans="1:21" s="19" customFormat="1">
      <c r="A96" s="1068"/>
      <c r="B96" s="1065"/>
      <c r="C96" s="26" t="s">
        <v>22</v>
      </c>
      <c r="D96" s="17">
        <f>E96+M96</f>
        <v>-14000</v>
      </c>
      <c r="E96" s="27">
        <f>F96+I96+J96+K96+L96</f>
        <v>-14000</v>
      </c>
      <c r="F96" s="27">
        <f>G96+H96</f>
        <v>-14000</v>
      </c>
      <c r="G96" s="27"/>
      <c r="H96" s="27">
        <v>-14000</v>
      </c>
      <c r="I96" s="27"/>
      <c r="J96" s="27"/>
      <c r="K96" s="27"/>
      <c r="L96" s="27"/>
      <c r="M96" s="27">
        <f>N96+P96</f>
        <v>0</v>
      </c>
      <c r="N96" s="27"/>
      <c r="O96" s="27"/>
      <c r="P96" s="27"/>
      <c r="Q96" s="35"/>
      <c r="R96" s="35"/>
      <c r="S96" s="28"/>
      <c r="T96" s="28"/>
      <c r="U96" s="28"/>
    </row>
    <row r="97" spans="1:21" s="19" customFormat="1">
      <c r="A97" s="1068"/>
      <c r="B97" s="1065"/>
      <c r="C97" s="26" t="s">
        <v>23</v>
      </c>
      <c r="D97" s="17">
        <f t="shared" ref="D97:P97" si="39">D95+D96</f>
        <v>803406</v>
      </c>
      <c r="E97" s="27">
        <f t="shared" si="39"/>
        <v>803406</v>
      </c>
      <c r="F97" s="27">
        <f t="shared" si="39"/>
        <v>369000</v>
      </c>
      <c r="G97" s="27">
        <f t="shared" si="39"/>
        <v>169900</v>
      </c>
      <c r="H97" s="27">
        <f t="shared" si="39"/>
        <v>199100</v>
      </c>
      <c r="I97" s="27">
        <f t="shared" si="39"/>
        <v>50000</v>
      </c>
      <c r="J97" s="27">
        <f t="shared" si="39"/>
        <v>0</v>
      </c>
      <c r="K97" s="27">
        <f t="shared" si="39"/>
        <v>384406</v>
      </c>
      <c r="L97" s="27">
        <f t="shared" si="39"/>
        <v>0</v>
      </c>
      <c r="M97" s="27">
        <f t="shared" si="39"/>
        <v>0</v>
      </c>
      <c r="N97" s="27">
        <f t="shared" si="39"/>
        <v>0</v>
      </c>
      <c r="O97" s="27">
        <f t="shared" si="39"/>
        <v>0</v>
      </c>
      <c r="P97" s="27">
        <f t="shared" si="39"/>
        <v>0</v>
      </c>
      <c r="Q97" s="35"/>
      <c r="R97" s="35"/>
      <c r="S97" s="28"/>
      <c r="T97" s="28"/>
      <c r="U97" s="28"/>
    </row>
    <row r="98" spans="1:21" s="45" customFormat="1" ht="13.9" hidden="1" customHeight="1">
      <c r="A98" s="1071" t="s">
        <v>73</v>
      </c>
      <c r="B98" s="1063" t="s">
        <v>74</v>
      </c>
      <c r="C98" s="42" t="s">
        <v>21</v>
      </c>
      <c r="D98" s="30">
        <f t="shared" ref="D98:P98" si="40">D101+D104</f>
        <v>1841193</v>
      </c>
      <c r="E98" s="31">
        <f t="shared" si="40"/>
        <v>1841193</v>
      </c>
      <c r="F98" s="31">
        <f t="shared" si="40"/>
        <v>718335</v>
      </c>
      <c r="G98" s="31">
        <f t="shared" si="40"/>
        <v>191100</v>
      </c>
      <c r="H98" s="31">
        <f t="shared" si="40"/>
        <v>527235</v>
      </c>
      <c r="I98" s="31">
        <f t="shared" si="40"/>
        <v>123470</v>
      </c>
      <c r="J98" s="31">
        <f t="shared" si="40"/>
        <v>0</v>
      </c>
      <c r="K98" s="31">
        <f t="shared" si="40"/>
        <v>999388</v>
      </c>
      <c r="L98" s="31">
        <f t="shared" si="40"/>
        <v>0</v>
      </c>
      <c r="M98" s="31">
        <f t="shared" si="40"/>
        <v>0</v>
      </c>
      <c r="N98" s="31">
        <f t="shared" si="40"/>
        <v>0</v>
      </c>
      <c r="O98" s="31">
        <f t="shared" si="40"/>
        <v>0</v>
      </c>
      <c r="P98" s="31">
        <f t="shared" si="40"/>
        <v>0</v>
      </c>
      <c r="Q98" s="43"/>
      <c r="R98" s="43"/>
      <c r="S98" s="44"/>
      <c r="T98" s="44"/>
      <c r="U98" s="44"/>
    </row>
    <row r="99" spans="1:21" s="45" customFormat="1" ht="14.25" hidden="1">
      <c r="A99" s="1071"/>
      <c r="B99" s="1063"/>
      <c r="C99" s="42" t="s">
        <v>22</v>
      </c>
      <c r="D99" s="30">
        <f t="shared" ref="D99:P99" si="41">D102+D105</f>
        <v>0</v>
      </c>
      <c r="E99" s="31">
        <f t="shared" si="41"/>
        <v>0</v>
      </c>
      <c r="F99" s="31">
        <f t="shared" si="41"/>
        <v>0</v>
      </c>
      <c r="G99" s="31">
        <f t="shared" si="41"/>
        <v>0</v>
      </c>
      <c r="H99" s="31">
        <f t="shared" si="41"/>
        <v>0</v>
      </c>
      <c r="I99" s="31">
        <f t="shared" si="41"/>
        <v>0</v>
      </c>
      <c r="J99" s="31">
        <f t="shared" si="41"/>
        <v>0</v>
      </c>
      <c r="K99" s="31">
        <f t="shared" si="41"/>
        <v>0</v>
      </c>
      <c r="L99" s="31">
        <f t="shared" si="41"/>
        <v>0</v>
      </c>
      <c r="M99" s="31">
        <f t="shared" si="41"/>
        <v>0</v>
      </c>
      <c r="N99" s="31">
        <f t="shared" si="41"/>
        <v>0</v>
      </c>
      <c r="O99" s="31">
        <f t="shared" si="41"/>
        <v>0</v>
      </c>
      <c r="P99" s="31">
        <f t="shared" si="41"/>
        <v>0</v>
      </c>
      <c r="Q99" s="43"/>
      <c r="R99" s="43"/>
      <c r="S99" s="44"/>
      <c r="T99" s="44"/>
      <c r="U99" s="44"/>
    </row>
    <row r="100" spans="1:21" s="45" customFormat="1" ht="14.25" hidden="1">
      <c r="A100" s="1071"/>
      <c r="B100" s="1063"/>
      <c r="C100" s="42" t="s">
        <v>23</v>
      </c>
      <c r="D100" s="30">
        <f t="shared" ref="D100:P100" si="42">D98+D99</f>
        <v>1841193</v>
      </c>
      <c r="E100" s="31">
        <f t="shared" si="42"/>
        <v>1841193</v>
      </c>
      <c r="F100" s="31">
        <f t="shared" si="42"/>
        <v>718335</v>
      </c>
      <c r="G100" s="31">
        <f t="shared" si="42"/>
        <v>191100</v>
      </c>
      <c r="H100" s="31">
        <f t="shared" si="42"/>
        <v>527235</v>
      </c>
      <c r="I100" s="31">
        <f t="shared" si="42"/>
        <v>123470</v>
      </c>
      <c r="J100" s="31">
        <f t="shared" si="42"/>
        <v>0</v>
      </c>
      <c r="K100" s="31">
        <f t="shared" si="42"/>
        <v>999388</v>
      </c>
      <c r="L100" s="31">
        <f t="shared" si="42"/>
        <v>0</v>
      </c>
      <c r="M100" s="31">
        <f t="shared" si="42"/>
        <v>0</v>
      </c>
      <c r="N100" s="31">
        <f t="shared" si="42"/>
        <v>0</v>
      </c>
      <c r="O100" s="31">
        <f t="shared" si="42"/>
        <v>0</v>
      </c>
      <c r="P100" s="31">
        <f t="shared" si="42"/>
        <v>0</v>
      </c>
      <c r="Q100" s="43"/>
      <c r="R100" s="43"/>
      <c r="S100" s="44"/>
      <c r="T100" s="44"/>
      <c r="U100" s="44"/>
    </row>
    <row r="101" spans="1:21" s="19" customFormat="1" ht="13.15" hidden="1" customHeight="1">
      <c r="A101" s="1068" t="s">
        <v>75</v>
      </c>
      <c r="B101" s="1065" t="s">
        <v>76</v>
      </c>
      <c r="C101" s="26" t="s">
        <v>21</v>
      </c>
      <c r="D101" s="17">
        <f>E101+M101</f>
        <v>654805</v>
      </c>
      <c r="E101" s="27">
        <f>F101+I101+J101+K101+L101</f>
        <v>654805</v>
      </c>
      <c r="F101" s="27">
        <f>G101+H101</f>
        <v>531335</v>
      </c>
      <c r="G101" s="27">
        <v>4100</v>
      </c>
      <c r="H101" s="27">
        <v>527235</v>
      </c>
      <c r="I101" s="27">
        <v>123470</v>
      </c>
      <c r="J101" s="27">
        <v>0</v>
      </c>
      <c r="K101" s="27">
        <v>0</v>
      </c>
      <c r="L101" s="27">
        <v>0</v>
      </c>
      <c r="M101" s="27">
        <f>N101+P101</f>
        <v>0</v>
      </c>
      <c r="N101" s="27">
        <v>0</v>
      </c>
      <c r="O101" s="27">
        <v>0</v>
      </c>
      <c r="P101" s="27">
        <v>0</v>
      </c>
      <c r="Q101" s="35"/>
      <c r="R101" s="35"/>
      <c r="S101" s="28"/>
      <c r="T101" s="28"/>
      <c r="U101" s="28"/>
    </row>
    <row r="102" spans="1:21" s="19" customFormat="1" hidden="1">
      <c r="A102" s="1068"/>
      <c r="B102" s="1065"/>
      <c r="C102" s="26" t="s">
        <v>22</v>
      </c>
      <c r="D102" s="17">
        <f>E102+M102</f>
        <v>0</v>
      </c>
      <c r="E102" s="27">
        <f>F102+I102+J102+K102+L102</f>
        <v>0</v>
      </c>
      <c r="F102" s="27">
        <f>G102+H102</f>
        <v>0</v>
      </c>
      <c r="G102" s="27"/>
      <c r="H102" s="27"/>
      <c r="I102" s="27"/>
      <c r="J102" s="27"/>
      <c r="K102" s="27"/>
      <c r="L102" s="27"/>
      <c r="M102" s="27">
        <f>N102+P102</f>
        <v>0</v>
      </c>
      <c r="N102" s="27"/>
      <c r="O102" s="27"/>
      <c r="P102" s="27"/>
      <c r="Q102" s="35"/>
      <c r="R102" s="35"/>
      <c r="S102" s="28"/>
      <c r="T102" s="28"/>
      <c r="U102" s="28"/>
    </row>
    <row r="103" spans="1:21" s="19" customFormat="1" hidden="1">
      <c r="A103" s="1068"/>
      <c r="B103" s="1065"/>
      <c r="C103" s="26" t="s">
        <v>23</v>
      </c>
      <c r="D103" s="17">
        <f t="shared" ref="D103:P103" si="43">D101+D102</f>
        <v>654805</v>
      </c>
      <c r="E103" s="27">
        <f t="shared" si="43"/>
        <v>654805</v>
      </c>
      <c r="F103" s="27">
        <f t="shared" si="43"/>
        <v>531335</v>
      </c>
      <c r="G103" s="27">
        <f t="shared" si="43"/>
        <v>4100</v>
      </c>
      <c r="H103" s="27">
        <f t="shared" si="43"/>
        <v>527235</v>
      </c>
      <c r="I103" s="27">
        <f t="shared" si="43"/>
        <v>123470</v>
      </c>
      <c r="J103" s="27">
        <f t="shared" si="43"/>
        <v>0</v>
      </c>
      <c r="K103" s="27">
        <f t="shared" si="43"/>
        <v>0</v>
      </c>
      <c r="L103" s="27">
        <f t="shared" si="43"/>
        <v>0</v>
      </c>
      <c r="M103" s="27">
        <f t="shared" si="43"/>
        <v>0</v>
      </c>
      <c r="N103" s="27">
        <f t="shared" si="43"/>
        <v>0</v>
      </c>
      <c r="O103" s="27">
        <f t="shared" si="43"/>
        <v>0</v>
      </c>
      <c r="P103" s="27">
        <f t="shared" si="43"/>
        <v>0</v>
      </c>
      <c r="Q103" s="35"/>
      <c r="R103" s="35"/>
      <c r="S103" s="28"/>
      <c r="T103" s="28"/>
      <c r="U103" s="28"/>
    </row>
    <row r="104" spans="1:21" s="19" customFormat="1" ht="13.15" hidden="1" customHeight="1">
      <c r="A104" s="1068" t="s">
        <v>77</v>
      </c>
      <c r="B104" s="1065" t="s">
        <v>37</v>
      </c>
      <c r="C104" s="26" t="s">
        <v>21</v>
      </c>
      <c r="D104" s="17">
        <f>E104+M104</f>
        <v>1186388</v>
      </c>
      <c r="E104" s="27">
        <f>F104+I104+J104+K104+L104</f>
        <v>1186388</v>
      </c>
      <c r="F104" s="27">
        <f>G104+H104</f>
        <v>187000</v>
      </c>
      <c r="G104" s="27">
        <v>187000</v>
      </c>
      <c r="H104" s="27">
        <v>0</v>
      </c>
      <c r="I104" s="27">
        <v>0</v>
      </c>
      <c r="J104" s="27">
        <v>0</v>
      </c>
      <c r="K104" s="27">
        <v>999388</v>
      </c>
      <c r="L104" s="27">
        <v>0</v>
      </c>
      <c r="M104" s="27">
        <f>N104+P104</f>
        <v>0</v>
      </c>
      <c r="N104" s="27">
        <v>0</v>
      </c>
      <c r="O104" s="27">
        <v>0</v>
      </c>
      <c r="P104" s="27">
        <v>0</v>
      </c>
      <c r="Q104" s="35"/>
      <c r="R104" s="35"/>
      <c r="S104" s="28"/>
      <c r="T104" s="28"/>
      <c r="U104" s="28"/>
    </row>
    <row r="105" spans="1:21" s="19" customFormat="1" hidden="1">
      <c r="A105" s="1068"/>
      <c r="B105" s="1065"/>
      <c r="C105" s="26" t="s">
        <v>22</v>
      </c>
      <c r="D105" s="17">
        <f>E105+M105</f>
        <v>0</v>
      </c>
      <c r="E105" s="27">
        <f>F105+I105+J105+K105+L105</f>
        <v>0</v>
      </c>
      <c r="F105" s="27">
        <f>G105+H105</f>
        <v>0</v>
      </c>
      <c r="G105" s="27"/>
      <c r="H105" s="27"/>
      <c r="I105" s="27"/>
      <c r="J105" s="27"/>
      <c r="K105" s="27"/>
      <c r="L105" s="27"/>
      <c r="M105" s="27">
        <f>N105+P105</f>
        <v>0</v>
      </c>
      <c r="N105" s="27"/>
      <c r="O105" s="27"/>
      <c r="P105" s="27"/>
      <c r="Q105" s="35"/>
      <c r="R105" s="35"/>
      <c r="S105" s="28"/>
      <c r="T105" s="28"/>
      <c r="U105" s="28"/>
    </row>
    <row r="106" spans="1:21" s="19" customFormat="1" hidden="1">
      <c r="A106" s="1068"/>
      <c r="B106" s="1065"/>
      <c r="C106" s="26" t="s">
        <v>23</v>
      </c>
      <c r="D106" s="17">
        <f t="shared" ref="D106:P106" si="44">D104+D105</f>
        <v>1186388</v>
      </c>
      <c r="E106" s="27">
        <f t="shared" si="44"/>
        <v>1186388</v>
      </c>
      <c r="F106" s="27">
        <f t="shared" si="44"/>
        <v>187000</v>
      </c>
      <c r="G106" s="27">
        <f t="shared" si="44"/>
        <v>187000</v>
      </c>
      <c r="H106" s="27">
        <f t="shared" si="44"/>
        <v>0</v>
      </c>
      <c r="I106" s="27">
        <f t="shared" si="44"/>
        <v>0</v>
      </c>
      <c r="J106" s="27">
        <f t="shared" si="44"/>
        <v>0</v>
      </c>
      <c r="K106" s="27">
        <f t="shared" si="44"/>
        <v>999388</v>
      </c>
      <c r="L106" s="27">
        <f t="shared" si="44"/>
        <v>0</v>
      </c>
      <c r="M106" s="27">
        <f t="shared" si="44"/>
        <v>0</v>
      </c>
      <c r="N106" s="27">
        <f t="shared" si="44"/>
        <v>0</v>
      </c>
      <c r="O106" s="27">
        <f t="shared" si="44"/>
        <v>0</v>
      </c>
      <c r="P106" s="27">
        <f t="shared" si="44"/>
        <v>0</v>
      </c>
      <c r="Q106" s="35"/>
      <c r="R106" s="35"/>
      <c r="S106" s="28"/>
      <c r="T106" s="28"/>
      <c r="U106" s="28"/>
    </row>
    <row r="107" spans="1:21" s="45" customFormat="1" ht="14.25">
      <c r="A107" s="1071" t="s">
        <v>78</v>
      </c>
      <c r="B107" s="1063" t="s">
        <v>79</v>
      </c>
      <c r="C107" s="42" t="s">
        <v>21</v>
      </c>
      <c r="D107" s="30">
        <f t="shared" ref="D107:P107" si="45">D110</f>
        <v>2081900</v>
      </c>
      <c r="E107" s="31">
        <f t="shared" si="45"/>
        <v>1094500</v>
      </c>
      <c r="F107" s="31">
        <f t="shared" si="45"/>
        <v>1094500</v>
      </c>
      <c r="G107" s="31">
        <f t="shared" si="45"/>
        <v>0</v>
      </c>
      <c r="H107" s="31">
        <f t="shared" si="45"/>
        <v>1094500</v>
      </c>
      <c r="I107" s="31">
        <f t="shared" si="45"/>
        <v>0</v>
      </c>
      <c r="J107" s="31">
        <f t="shared" si="45"/>
        <v>0</v>
      </c>
      <c r="K107" s="31">
        <f t="shared" si="45"/>
        <v>0</v>
      </c>
      <c r="L107" s="31">
        <f t="shared" si="45"/>
        <v>0</v>
      </c>
      <c r="M107" s="31">
        <f t="shared" si="45"/>
        <v>987400</v>
      </c>
      <c r="N107" s="31">
        <f t="shared" si="45"/>
        <v>987400</v>
      </c>
      <c r="O107" s="31">
        <f t="shared" si="45"/>
        <v>0</v>
      </c>
      <c r="P107" s="31">
        <f t="shared" si="45"/>
        <v>0</v>
      </c>
      <c r="Q107" s="43"/>
      <c r="R107" s="43"/>
      <c r="S107" s="44"/>
      <c r="T107" s="44"/>
      <c r="U107" s="44"/>
    </row>
    <row r="108" spans="1:21" s="45" customFormat="1" ht="14.25">
      <c r="A108" s="1071"/>
      <c r="B108" s="1063"/>
      <c r="C108" s="42" t="s">
        <v>22</v>
      </c>
      <c r="D108" s="30">
        <f t="shared" ref="D108:P108" si="46">D111</f>
        <v>-170000</v>
      </c>
      <c r="E108" s="31">
        <f t="shared" si="46"/>
        <v>-170000</v>
      </c>
      <c r="F108" s="31">
        <f t="shared" si="46"/>
        <v>-170000</v>
      </c>
      <c r="G108" s="31">
        <f t="shared" si="46"/>
        <v>0</v>
      </c>
      <c r="H108" s="31">
        <f t="shared" si="46"/>
        <v>-170000</v>
      </c>
      <c r="I108" s="31">
        <f t="shared" si="46"/>
        <v>0</v>
      </c>
      <c r="J108" s="31">
        <f t="shared" si="46"/>
        <v>0</v>
      </c>
      <c r="K108" s="31">
        <f t="shared" si="46"/>
        <v>0</v>
      </c>
      <c r="L108" s="31">
        <f t="shared" si="46"/>
        <v>0</v>
      </c>
      <c r="M108" s="31">
        <f t="shared" si="46"/>
        <v>0</v>
      </c>
      <c r="N108" s="31">
        <f t="shared" si="46"/>
        <v>0</v>
      </c>
      <c r="O108" s="31">
        <f t="shared" si="46"/>
        <v>0</v>
      </c>
      <c r="P108" s="31">
        <f t="shared" si="46"/>
        <v>0</v>
      </c>
      <c r="Q108" s="43"/>
      <c r="R108" s="43"/>
      <c r="S108" s="44"/>
      <c r="T108" s="44"/>
      <c r="U108" s="44"/>
    </row>
    <row r="109" spans="1:21" s="45" customFormat="1" ht="14.25">
      <c r="A109" s="1071"/>
      <c r="B109" s="1063"/>
      <c r="C109" s="42" t="s">
        <v>23</v>
      </c>
      <c r="D109" s="30">
        <f t="shared" ref="D109:P109" si="47">D107+D108</f>
        <v>1911900</v>
      </c>
      <c r="E109" s="31">
        <f t="shared" si="47"/>
        <v>924500</v>
      </c>
      <c r="F109" s="31">
        <f t="shared" si="47"/>
        <v>924500</v>
      </c>
      <c r="G109" s="31">
        <f t="shared" si="47"/>
        <v>0</v>
      </c>
      <c r="H109" s="31">
        <f t="shared" si="47"/>
        <v>924500</v>
      </c>
      <c r="I109" s="31">
        <f t="shared" si="47"/>
        <v>0</v>
      </c>
      <c r="J109" s="31">
        <f t="shared" si="47"/>
        <v>0</v>
      </c>
      <c r="K109" s="31">
        <f t="shared" si="47"/>
        <v>0</v>
      </c>
      <c r="L109" s="31">
        <f t="shared" si="47"/>
        <v>0</v>
      </c>
      <c r="M109" s="31">
        <f t="shared" si="47"/>
        <v>987400</v>
      </c>
      <c r="N109" s="31">
        <f t="shared" si="47"/>
        <v>987400</v>
      </c>
      <c r="O109" s="31">
        <f t="shared" si="47"/>
        <v>0</v>
      </c>
      <c r="P109" s="31">
        <f t="shared" si="47"/>
        <v>0</v>
      </c>
      <c r="Q109" s="43"/>
      <c r="R109" s="43"/>
      <c r="S109" s="44"/>
      <c r="T109" s="44"/>
      <c r="U109" s="44"/>
    </row>
    <row r="110" spans="1:21" s="19" customFormat="1" ht="13.15" customHeight="1">
      <c r="A110" s="1068" t="s">
        <v>80</v>
      </c>
      <c r="B110" s="1065" t="s">
        <v>81</v>
      </c>
      <c r="C110" s="26" t="s">
        <v>21</v>
      </c>
      <c r="D110" s="17">
        <f>E110+M110</f>
        <v>2081900</v>
      </c>
      <c r="E110" s="27">
        <f>F110+I110+J110+K110+L110</f>
        <v>1094500</v>
      </c>
      <c r="F110" s="27">
        <f>G110+H110</f>
        <v>1094500</v>
      </c>
      <c r="G110" s="27">
        <v>0</v>
      </c>
      <c r="H110" s="27">
        <v>1094500</v>
      </c>
      <c r="I110" s="27">
        <v>0</v>
      </c>
      <c r="J110" s="27">
        <v>0</v>
      </c>
      <c r="K110" s="27">
        <v>0</v>
      </c>
      <c r="L110" s="27">
        <v>0</v>
      </c>
      <c r="M110" s="27">
        <f>N110+P110</f>
        <v>987400</v>
      </c>
      <c r="N110" s="27">
        <v>987400</v>
      </c>
      <c r="O110" s="27">
        <v>0</v>
      </c>
      <c r="P110" s="27">
        <v>0</v>
      </c>
      <c r="Q110" s="35"/>
      <c r="R110" s="35"/>
      <c r="S110" s="28"/>
      <c r="T110" s="28"/>
      <c r="U110" s="28"/>
    </row>
    <row r="111" spans="1:21" s="19" customFormat="1">
      <c r="A111" s="1068"/>
      <c r="B111" s="1065"/>
      <c r="C111" s="26" t="s">
        <v>22</v>
      </c>
      <c r="D111" s="17">
        <f>E111+M111</f>
        <v>-170000</v>
      </c>
      <c r="E111" s="27">
        <f>F111+I111+J111+K111+L111</f>
        <v>-170000</v>
      </c>
      <c r="F111" s="27">
        <f>G111+H111</f>
        <v>-170000</v>
      </c>
      <c r="G111" s="27"/>
      <c r="H111" s="27">
        <v>-170000</v>
      </c>
      <c r="I111" s="27"/>
      <c r="J111" s="27"/>
      <c r="K111" s="27"/>
      <c r="L111" s="27"/>
      <c r="M111" s="27">
        <f>N111+P111</f>
        <v>0</v>
      </c>
      <c r="N111" s="27"/>
      <c r="O111" s="27"/>
      <c r="P111" s="27"/>
      <c r="Q111" s="35"/>
      <c r="R111" s="35"/>
      <c r="S111" s="28"/>
      <c r="T111" s="28"/>
      <c r="U111" s="28"/>
    </row>
    <row r="112" spans="1:21" s="19" customFormat="1">
      <c r="A112" s="1068"/>
      <c r="B112" s="1065"/>
      <c r="C112" s="26" t="s">
        <v>23</v>
      </c>
      <c r="D112" s="17">
        <f t="shared" ref="D112:P112" si="48">D110+D111</f>
        <v>1911900</v>
      </c>
      <c r="E112" s="27">
        <f t="shared" si="48"/>
        <v>924500</v>
      </c>
      <c r="F112" s="27">
        <f t="shared" si="48"/>
        <v>924500</v>
      </c>
      <c r="G112" s="27">
        <f t="shared" si="48"/>
        <v>0</v>
      </c>
      <c r="H112" s="27">
        <f t="shared" si="48"/>
        <v>924500</v>
      </c>
      <c r="I112" s="27">
        <f t="shared" si="48"/>
        <v>0</v>
      </c>
      <c r="J112" s="27">
        <f t="shared" si="48"/>
        <v>0</v>
      </c>
      <c r="K112" s="27">
        <f t="shared" si="48"/>
        <v>0</v>
      </c>
      <c r="L112" s="27">
        <f t="shared" si="48"/>
        <v>0</v>
      </c>
      <c r="M112" s="27">
        <f t="shared" si="48"/>
        <v>987400</v>
      </c>
      <c r="N112" s="27">
        <f t="shared" si="48"/>
        <v>987400</v>
      </c>
      <c r="O112" s="27">
        <f t="shared" si="48"/>
        <v>0</v>
      </c>
      <c r="P112" s="27">
        <f t="shared" si="48"/>
        <v>0</v>
      </c>
      <c r="Q112" s="35"/>
      <c r="R112" s="35"/>
      <c r="S112" s="28"/>
      <c r="T112" s="28"/>
      <c r="U112" s="28"/>
    </row>
    <row r="113" spans="1:21" s="45" customFormat="1" ht="13.9" customHeight="1">
      <c r="A113" s="1071" t="s">
        <v>82</v>
      </c>
      <c r="B113" s="1063" t="s">
        <v>83</v>
      </c>
      <c r="C113" s="42" t="s">
        <v>21</v>
      </c>
      <c r="D113" s="30">
        <f t="shared" ref="D113:P113" si="49">D116+D119+D122+D125+D128</f>
        <v>4877270</v>
      </c>
      <c r="E113" s="31">
        <f t="shared" si="49"/>
        <v>4739270</v>
      </c>
      <c r="F113" s="31">
        <f t="shared" si="49"/>
        <v>4737970</v>
      </c>
      <c r="G113" s="31">
        <f t="shared" si="49"/>
        <v>3991272</v>
      </c>
      <c r="H113" s="31">
        <f t="shared" si="49"/>
        <v>746698</v>
      </c>
      <c r="I113" s="31">
        <f t="shared" si="49"/>
        <v>0</v>
      </c>
      <c r="J113" s="31">
        <f t="shared" si="49"/>
        <v>1300</v>
      </c>
      <c r="K113" s="31">
        <f t="shared" si="49"/>
        <v>0</v>
      </c>
      <c r="L113" s="31">
        <f t="shared" si="49"/>
        <v>0</v>
      </c>
      <c r="M113" s="31">
        <f t="shared" si="49"/>
        <v>138000</v>
      </c>
      <c r="N113" s="31">
        <f t="shared" si="49"/>
        <v>18000</v>
      </c>
      <c r="O113" s="31">
        <f t="shared" si="49"/>
        <v>0</v>
      </c>
      <c r="P113" s="31">
        <f t="shared" si="49"/>
        <v>120000</v>
      </c>
      <c r="Q113" s="43"/>
      <c r="R113" s="43"/>
      <c r="S113" s="44"/>
      <c r="T113" s="44"/>
      <c r="U113" s="44"/>
    </row>
    <row r="114" spans="1:21" s="45" customFormat="1" ht="14.25">
      <c r="A114" s="1071"/>
      <c r="B114" s="1063"/>
      <c r="C114" s="42" t="s">
        <v>22</v>
      </c>
      <c r="D114" s="30">
        <f t="shared" ref="D114:P114" si="50">D117+D120+D123+D126+D129</f>
        <v>3522645</v>
      </c>
      <c r="E114" s="31">
        <f t="shared" si="50"/>
        <v>22645</v>
      </c>
      <c r="F114" s="31">
        <f t="shared" si="50"/>
        <v>22645</v>
      </c>
      <c r="G114" s="31">
        <f t="shared" si="50"/>
        <v>37020</v>
      </c>
      <c r="H114" s="31">
        <f t="shared" si="50"/>
        <v>-14375</v>
      </c>
      <c r="I114" s="31">
        <f t="shared" si="50"/>
        <v>0</v>
      </c>
      <c r="J114" s="31">
        <f t="shared" si="50"/>
        <v>0</v>
      </c>
      <c r="K114" s="31">
        <f t="shared" si="50"/>
        <v>0</v>
      </c>
      <c r="L114" s="31">
        <f t="shared" si="50"/>
        <v>0</v>
      </c>
      <c r="M114" s="31">
        <f t="shared" si="50"/>
        <v>3500000</v>
      </c>
      <c r="N114" s="31">
        <f t="shared" si="50"/>
        <v>0</v>
      </c>
      <c r="O114" s="31">
        <f t="shared" si="50"/>
        <v>0</v>
      </c>
      <c r="P114" s="31">
        <f t="shared" si="50"/>
        <v>3500000</v>
      </c>
      <c r="Q114" s="43"/>
      <c r="R114" s="43"/>
      <c r="S114" s="44"/>
      <c r="T114" s="44"/>
      <c r="U114" s="44"/>
    </row>
    <row r="115" spans="1:21" s="45" customFormat="1" ht="14.25">
      <c r="A115" s="1071"/>
      <c r="B115" s="1063"/>
      <c r="C115" s="42" t="s">
        <v>23</v>
      </c>
      <c r="D115" s="30">
        <f t="shared" ref="D115:P115" si="51">D113+D114</f>
        <v>8399915</v>
      </c>
      <c r="E115" s="31">
        <f t="shared" si="51"/>
        <v>4761915</v>
      </c>
      <c r="F115" s="31">
        <f t="shared" si="51"/>
        <v>4760615</v>
      </c>
      <c r="G115" s="31">
        <f t="shared" si="51"/>
        <v>4028292</v>
      </c>
      <c r="H115" s="31">
        <f t="shared" si="51"/>
        <v>732323</v>
      </c>
      <c r="I115" s="31">
        <f t="shared" si="51"/>
        <v>0</v>
      </c>
      <c r="J115" s="31">
        <f t="shared" si="51"/>
        <v>1300</v>
      </c>
      <c r="K115" s="31">
        <f t="shared" si="51"/>
        <v>0</v>
      </c>
      <c r="L115" s="31">
        <f t="shared" si="51"/>
        <v>0</v>
      </c>
      <c r="M115" s="31">
        <f t="shared" si="51"/>
        <v>3638000</v>
      </c>
      <c r="N115" s="31">
        <f t="shared" si="51"/>
        <v>18000</v>
      </c>
      <c r="O115" s="31">
        <f t="shared" si="51"/>
        <v>0</v>
      </c>
      <c r="P115" s="31">
        <f t="shared" si="51"/>
        <v>3620000</v>
      </c>
      <c r="Q115" s="43"/>
      <c r="R115" s="43"/>
      <c r="S115" s="44"/>
      <c r="T115" s="44"/>
      <c r="U115" s="44"/>
    </row>
    <row r="116" spans="1:21" s="57" customFormat="1" ht="13.15" customHeight="1">
      <c r="A116" s="1068" t="s">
        <v>84</v>
      </c>
      <c r="B116" s="1065" t="s">
        <v>85</v>
      </c>
      <c r="C116" s="26" t="s">
        <v>21</v>
      </c>
      <c r="D116" s="53">
        <f>E116+M116</f>
        <v>4278770</v>
      </c>
      <c r="E116" s="54">
        <f>F116+I116+J116+K116+L116</f>
        <v>4278770</v>
      </c>
      <c r="F116" s="54">
        <f>G116+H116</f>
        <v>4277470</v>
      </c>
      <c r="G116" s="54">
        <v>3749672</v>
      </c>
      <c r="H116" s="54">
        <v>527798</v>
      </c>
      <c r="I116" s="54">
        <v>0</v>
      </c>
      <c r="J116" s="54">
        <v>1300</v>
      </c>
      <c r="K116" s="54">
        <v>0</v>
      </c>
      <c r="L116" s="54">
        <v>0</v>
      </c>
      <c r="M116" s="54">
        <f>N116+P116</f>
        <v>0</v>
      </c>
      <c r="N116" s="54">
        <v>0</v>
      </c>
      <c r="O116" s="54">
        <v>0</v>
      </c>
      <c r="P116" s="54">
        <v>0</v>
      </c>
      <c r="Q116" s="55"/>
      <c r="R116" s="55"/>
      <c r="S116" s="56"/>
      <c r="T116" s="56"/>
      <c r="U116" s="56"/>
    </row>
    <row r="117" spans="1:21" s="57" customFormat="1">
      <c r="A117" s="1068"/>
      <c r="B117" s="1065"/>
      <c r="C117" s="26" t="s">
        <v>22</v>
      </c>
      <c r="D117" s="53">
        <f>E117+M117</f>
        <v>40120</v>
      </c>
      <c r="E117" s="54">
        <f>F117+I117+J117+K117+L117</f>
        <v>40120</v>
      </c>
      <c r="F117" s="54">
        <f>G117+H117</f>
        <v>40120</v>
      </c>
      <c r="G117" s="54">
        <v>40120</v>
      </c>
      <c r="H117" s="54"/>
      <c r="I117" s="54"/>
      <c r="J117" s="54"/>
      <c r="K117" s="54"/>
      <c r="L117" s="54"/>
      <c r="M117" s="54">
        <f>N117+P117</f>
        <v>0</v>
      </c>
      <c r="N117" s="54"/>
      <c r="O117" s="54"/>
      <c r="P117" s="54"/>
      <c r="Q117" s="55"/>
      <c r="R117" s="55"/>
      <c r="S117" s="56"/>
      <c r="T117" s="56"/>
      <c r="U117" s="56"/>
    </row>
    <row r="118" spans="1:21" s="57" customFormat="1">
      <c r="A118" s="1068"/>
      <c r="B118" s="1065"/>
      <c r="C118" s="26" t="s">
        <v>23</v>
      </c>
      <c r="D118" s="53">
        <f t="shared" ref="D118:P118" si="52">D116+D117</f>
        <v>4318890</v>
      </c>
      <c r="E118" s="54">
        <f t="shared" si="52"/>
        <v>4318890</v>
      </c>
      <c r="F118" s="54">
        <f t="shared" si="52"/>
        <v>4317590</v>
      </c>
      <c r="G118" s="54">
        <f t="shared" si="52"/>
        <v>3789792</v>
      </c>
      <c r="H118" s="54">
        <f t="shared" si="52"/>
        <v>527798</v>
      </c>
      <c r="I118" s="54">
        <f t="shared" si="52"/>
        <v>0</v>
      </c>
      <c r="J118" s="54">
        <f t="shared" si="52"/>
        <v>1300</v>
      </c>
      <c r="K118" s="54">
        <f t="shared" si="52"/>
        <v>0</v>
      </c>
      <c r="L118" s="54">
        <f t="shared" si="52"/>
        <v>0</v>
      </c>
      <c r="M118" s="54">
        <f t="shared" si="52"/>
        <v>0</v>
      </c>
      <c r="N118" s="54">
        <f t="shared" si="52"/>
        <v>0</v>
      </c>
      <c r="O118" s="54">
        <f t="shared" si="52"/>
        <v>0</v>
      </c>
      <c r="P118" s="54">
        <f t="shared" si="52"/>
        <v>0</v>
      </c>
      <c r="Q118" s="55"/>
      <c r="R118" s="55"/>
      <c r="S118" s="56"/>
      <c r="T118" s="56"/>
      <c r="U118" s="56"/>
    </row>
    <row r="119" spans="1:21" s="19" customFormat="1" ht="13.15" customHeight="1">
      <c r="A119" s="1068" t="s">
        <v>86</v>
      </c>
      <c r="B119" s="1065" t="s">
        <v>87</v>
      </c>
      <c r="C119" s="26" t="s">
        <v>21</v>
      </c>
      <c r="D119" s="17">
        <f>E119+M119</f>
        <v>25500</v>
      </c>
      <c r="E119" s="27">
        <f>F119+I119+J119+K119+L119</f>
        <v>25500</v>
      </c>
      <c r="F119" s="27">
        <f>G119+H119</f>
        <v>25500</v>
      </c>
      <c r="G119" s="27">
        <v>3600</v>
      </c>
      <c r="H119" s="27">
        <v>21900</v>
      </c>
      <c r="I119" s="27">
        <v>0</v>
      </c>
      <c r="J119" s="27">
        <v>0</v>
      </c>
      <c r="K119" s="27">
        <v>0</v>
      </c>
      <c r="L119" s="27">
        <v>0</v>
      </c>
      <c r="M119" s="27">
        <f>N119+P119</f>
        <v>0</v>
      </c>
      <c r="N119" s="54">
        <v>0</v>
      </c>
      <c r="O119" s="54">
        <v>0</v>
      </c>
      <c r="P119" s="54">
        <v>0</v>
      </c>
      <c r="Q119" s="35"/>
      <c r="R119" s="35"/>
      <c r="S119" s="28"/>
      <c r="T119" s="28"/>
      <c r="U119" s="28"/>
    </row>
    <row r="120" spans="1:21" s="19" customFormat="1">
      <c r="A120" s="1068"/>
      <c r="B120" s="1065"/>
      <c r="C120" s="26" t="s">
        <v>22</v>
      </c>
      <c r="D120" s="17">
        <f>E120+M120</f>
        <v>-17475</v>
      </c>
      <c r="E120" s="27">
        <f>F120+I120+J120+K120+L120</f>
        <v>-17475</v>
      </c>
      <c r="F120" s="27">
        <f>G120+H120</f>
        <v>-17475</v>
      </c>
      <c r="G120" s="27">
        <f>-100-3000</f>
        <v>-3100</v>
      </c>
      <c r="H120" s="27">
        <f>-755-13620</f>
        <v>-14375</v>
      </c>
      <c r="I120" s="27"/>
      <c r="J120" s="27"/>
      <c r="K120" s="27"/>
      <c r="L120" s="27"/>
      <c r="M120" s="27">
        <f>N120+P120</f>
        <v>0</v>
      </c>
      <c r="N120" s="54"/>
      <c r="O120" s="54"/>
      <c r="P120" s="54"/>
      <c r="Q120" s="35"/>
      <c r="R120" s="35"/>
      <c r="S120" s="28"/>
      <c r="T120" s="28"/>
      <c r="U120" s="28"/>
    </row>
    <row r="121" spans="1:21" s="19" customFormat="1">
      <c r="A121" s="1068"/>
      <c r="B121" s="1065"/>
      <c r="C121" s="26" t="s">
        <v>23</v>
      </c>
      <c r="D121" s="17">
        <f t="shared" ref="D121:P121" si="53">D119+D120</f>
        <v>8025</v>
      </c>
      <c r="E121" s="27">
        <f t="shared" si="53"/>
        <v>8025</v>
      </c>
      <c r="F121" s="27">
        <f t="shared" si="53"/>
        <v>8025</v>
      </c>
      <c r="G121" s="27">
        <f t="shared" si="53"/>
        <v>500</v>
      </c>
      <c r="H121" s="27">
        <f t="shared" si="53"/>
        <v>7525</v>
      </c>
      <c r="I121" s="27">
        <f t="shared" si="53"/>
        <v>0</v>
      </c>
      <c r="J121" s="27">
        <f t="shared" si="53"/>
        <v>0</v>
      </c>
      <c r="K121" s="27">
        <f t="shared" si="53"/>
        <v>0</v>
      </c>
      <c r="L121" s="27">
        <f t="shared" si="53"/>
        <v>0</v>
      </c>
      <c r="M121" s="27">
        <f t="shared" si="53"/>
        <v>0</v>
      </c>
      <c r="N121" s="27">
        <f t="shared" si="53"/>
        <v>0</v>
      </c>
      <c r="O121" s="27">
        <f t="shared" si="53"/>
        <v>0</v>
      </c>
      <c r="P121" s="27">
        <f t="shared" si="53"/>
        <v>0</v>
      </c>
      <c r="Q121" s="35"/>
      <c r="R121" s="35"/>
      <c r="S121" s="28"/>
      <c r="T121" s="28"/>
      <c r="U121" s="28"/>
    </row>
    <row r="122" spans="1:21" s="19" customFormat="1" ht="13.15" hidden="1" customHeight="1">
      <c r="A122" s="1068" t="s">
        <v>88</v>
      </c>
      <c r="B122" s="1065" t="s">
        <v>89</v>
      </c>
      <c r="C122" s="26" t="s">
        <v>21</v>
      </c>
      <c r="D122" s="17">
        <f>E122+M122</f>
        <v>268000</v>
      </c>
      <c r="E122" s="27">
        <f>F122+I122+J122+K122+L122</f>
        <v>268000</v>
      </c>
      <c r="F122" s="27">
        <f>G122+H122</f>
        <v>268000</v>
      </c>
      <c r="G122" s="27">
        <v>238000</v>
      </c>
      <c r="H122" s="27">
        <v>30000</v>
      </c>
      <c r="I122" s="27">
        <v>0</v>
      </c>
      <c r="J122" s="27">
        <v>0</v>
      </c>
      <c r="K122" s="27">
        <v>0</v>
      </c>
      <c r="L122" s="27">
        <v>0</v>
      </c>
      <c r="M122" s="27">
        <f>N122+P122</f>
        <v>0</v>
      </c>
      <c r="N122" s="54">
        <v>0</v>
      </c>
      <c r="O122" s="54">
        <v>0</v>
      </c>
      <c r="P122" s="54">
        <v>0</v>
      </c>
      <c r="Q122" s="35"/>
      <c r="R122" s="35"/>
      <c r="S122" s="28"/>
      <c r="T122" s="28"/>
      <c r="U122" s="28"/>
    </row>
    <row r="123" spans="1:21" s="19" customFormat="1" hidden="1">
      <c r="A123" s="1068"/>
      <c r="B123" s="1065"/>
      <c r="C123" s="26" t="s">
        <v>22</v>
      </c>
      <c r="D123" s="17">
        <f>E123+M123</f>
        <v>0</v>
      </c>
      <c r="E123" s="27">
        <f>F123+I123+J123+K123+L123</f>
        <v>0</v>
      </c>
      <c r="F123" s="27">
        <f>G123+H123</f>
        <v>0</v>
      </c>
      <c r="G123" s="27"/>
      <c r="H123" s="27"/>
      <c r="I123" s="27"/>
      <c r="J123" s="27"/>
      <c r="K123" s="27"/>
      <c r="L123" s="27"/>
      <c r="M123" s="27">
        <f>N123+P123</f>
        <v>0</v>
      </c>
      <c r="N123" s="54"/>
      <c r="O123" s="54"/>
      <c r="P123" s="54"/>
      <c r="Q123" s="35"/>
      <c r="R123" s="35"/>
      <c r="S123" s="28"/>
      <c r="T123" s="28"/>
      <c r="U123" s="28"/>
    </row>
    <row r="124" spans="1:21" s="19" customFormat="1" hidden="1">
      <c r="A124" s="1068"/>
      <c r="B124" s="1065"/>
      <c r="C124" s="26" t="s">
        <v>23</v>
      </c>
      <c r="D124" s="17">
        <f t="shared" ref="D124:P124" si="54">D122+D123</f>
        <v>268000</v>
      </c>
      <c r="E124" s="27">
        <f t="shared" si="54"/>
        <v>268000</v>
      </c>
      <c r="F124" s="27">
        <f t="shared" si="54"/>
        <v>268000</v>
      </c>
      <c r="G124" s="27">
        <f t="shared" si="54"/>
        <v>238000</v>
      </c>
      <c r="H124" s="27">
        <f t="shared" si="54"/>
        <v>30000</v>
      </c>
      <c r="I124" s="27">
        <f t="shared" si="54"/>
        <v>0</v>
      </c>
      <c r="J124" s="27">
        <f t="shared" si="54"/>
        <v>0</v>
      </c>
      <c r="K124" s="27">
        <f t="shared" si="54"/>
        <v>0</v>
      </c>
      <c r="L124" s="27">
        <f t="shared" si="54"/>
        <v>0</v>
      </c>
      <c r="M124" s="27">
        <f t="shared" si="54"/>
        <v>0</v>
      </c>
      <c r="N124" s="27">
        <f t="shared" si="54"/>
        <v>0</v>
      </c>
      <c r="O124" s="27">
        <f t="shared" si="54"/>
        <v>0</v>
      </c>
      <c r="P124" s="27">
        <f t="shared" si="54"/>
        <v>0</v>
      </c>
      <c r="Q124" s="35"/>
      <c r="R124" s="35"/>
      <c r="S124" s="28"/>
      <c r="T124" s="28"/>
      <c r="U124" s="28"/>
    </row>
    <row r="125" spans="1:21" s="19" customFormat="1" ht="13.15" hidden="1" customHeight="1">
      <c r="A125" s="1068" t="s">
        <v>90</v>
      </c>
      <c r="B125" s="1065" t="s">
        <v>91</v>
      </c>
      <c r="C125" s="26" t="s">
        <v>21</v>
      </c>
      <c r="D125" s="17">
        <f>E125+M125</f>
        <v>185000</v>
      </c>
      <c r="E125" s="27">
        <f>F125+I125+J125+K125+L125</f>
        <v>167000</v>
      </c>
      <c r="F125" s="27">
        <f>G125+H125</f>
        <v>167000</v>
      </c>
      <c r="G125" s="27">
        <v>0</v>
      </c>
      <c r="H125" s="27">
        <v>167000</v>
      </c>
      <c r="I125" s="27">
        <v>0</v>
      </c>
      <c r="J125" s="27">
        <v>0</v>
      </c>
      <c r="K125" s="27">
        <v>0</v>
      </c>
      <c r="L125" s="27">
        <v>0</v>
      </c>
      <c r="M125" s="27">
        <f>N125+P125</f>
        <v>18000</v>
      </c>
      <c r="N125" s="27">
        <v>18000</v>
      </c>
      <c r="O125" s="27">
        <v>0</v>
      </c>
      <c r="P125" s="27">
        <v>0</v>
      </c>
      <c r="Q125" s="35"/>
      <c r="R125" s="35"/>
      <c r="S125" s="28"/>
      <c r="T125" s="28"/>
      <c r="U125" s="28"/>
    </row>
    <row r="126" spans="1:21" s="19" customFormat="1" hidden="1">
      <c r="A126" s="1068"/>
      <c r="B126" s="1065"/>
      <c r="C126" s="26" t="s">
        <v>22</v>
      </c>
      <c r="D126" s="17">
        <f>E126+M126</f>
        <v>0</v>
      </c>
      <c r="E126" s="27">
        <f>F126+I126+J126+K126+L126</f>
        <v>0</v>
      </c>
      <c r="F126" s="27">
        <f>G126+H126</f>
        <v>0</v>
      </c>
      <c r="G126" s="27"/>
      <c r="H126" s="27"/>
      <c r="I126" s="27"/>
      <c r="J126" s="27"/>
      <c r="K126" s="27"/>
      <c r="L126" s="27"/>
      <c r="M126" s="27">
        <f>N126+P126</f>
        <v>0</v>
      </c>
      <c r="N126" s="27"/>
      <c r="O126" s="27"/>
      <c r="P126" s="27"/>
      <c r="Q126" s="35"/>
      <c r="R126" s="35"/>
      <c r="S126" s="28"/>
      <c r="T126" s="28"/>
      <c r="U126" s="28"/>
    </row>
    <row r="127" spans="1:21" s="19" customFormat="1" hidden="1">
      <c r="A127" s="1068"/>
      <c r="B127" s="1065"/>
      <c r="C127" s="26" t="s">
        <v>23</v>
      </c>
      <c r="D127" s="17">
        <f>D125+D126</f>
        <v>185000</v>
      </c>
      <c r="E127" s="27">
        <f>E125+E126</f>
        <v>167000</v>
      </c>
      <c r="F127" s="27">
        <f>F125+F126</f>
        <v>167000</v>
      </c>
      <c r="G127" s="27">
        <f>G125+G126</f>
        <v>0</v>
      </c>
      <c r="H127" s="27">
        <v>0</v>
      </c>
      <c r="I127" s="27">
        <f>I125+I126</f>
        <v>0</v>
      </c>
      <c r="J127" s="27">
        <f>J125+J126</f>
        <v>0</v>
      </c>
      <c r="K127" s="27">
        <f>K125+K126</f>
        <v>0</v>
      </c>
      <c r="L127" s="27">
        <f>L125+L126</f>
        <v>0</v>
      </c>
      <c r="M127" s="27">
        <f>M125+M126</f>
        <v>18000</v>
      </c>
      <c r="N127" s="27">
        <v>0</v>
      </c>
      <c r="O127" s="27">
        <f>O125+O126</f>
        <v>0</v>
      </c>
      <c r="P127" s="27">
        <f>P125+P126</f>
        <v>0</v>
      </c>
      <c r="Q127" s="35"/>
      <c r="R127" s="35"/>
      <c r="S127" s="28"/>
      <c r="T127" s="28"/>
      <c r="U127" s="28"/>
    </row>
    <row r="128" spans="1:21" s="19" customFormat="1" ht="13.15" customHeight="1">
      <c r="A128" s="1067">
        <v>71095</v>
      </c>
      <c r="B128" s="1065" t="s">
        <v>92</v>
      </c>
      <c r="C128" s="26" t="s">
        <v>21</v>
      </c>
      <c r="D128" s="17">
        <f>E128+M128</f>
        <v>120000</v>
      </c>
      <c r="E128" s="27">
        <f>F128+I128+J128+K128+L128</f>
        <v>0</v>
      </c>
      <c r="F128" s="27">
        <f>G128+H128</f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f>N128+P128</f>
        <v>120000</v>
      </c>
      <c r="N128" s="27">
        <v>0</v>
      </c>
      <c r="O128" s="27">
        <v>0</v>
      </c>
      <c r="P128" s="27">
        <v>120000</v>
      </c>
      <c r="Q128" s="35"/>
      <c r="R128" s="35"/>
      <c r="S128" s="28"/>
      <c r="T128" s="28"/>
      <c r="U128" s="28"/>
    </row>
    <row r="129" spans="1:21" s="19" customFormat="1">
      <c r="A129" s="1067"/>
      <c r="B129" s="1065"/>
      <c r="C129" s="26" t="s">
        <v>22</v>
      </c>
      <c r="D129" s="17">
        <f>E129+M129</f>
        <v>3500000</v>
      </c>
      <c r="E129" s="27">
        <f>F129+I129+J129+K129+L129</f>
        <v>0</v>
      </c>
      <c r="F129" s="27">
        <f>G129+H129</f>
        <v>0</v>
      </c>
      <c r="G129" s="27"/>
      <c r="H129" s="27"/>
      <c r="I129" s="27"/>
      <c r="J129" s="27"/>
      <c r="K129" s="27"/>
      <c r="L129" s="27"/>
      <c r="M129" s="27">
        <f>N129+P129</f>
        <v>3500000</v>
      </c>
      <c r="N129" s="27"/>
      <c r="O129" s="27"/>
      <c r="P129" s="27">
        <v>3500000</v>
      </c>
      <c r="Q129" s="35"/>
      <c r="R129" s="35"/>
      <c r="S129" s="28"/>
      <c r="T129" s="28"/>
      <c r="U129" s="28"/>
    </row>
    <row r="130" spans="1:21" s="19" customFormat="1">
      <c r="A130" s="1067"/>
      <c r="B130" s="1065"/>
      <c r="C130" s="26" t="s">
        <v>23</v>
      </c>
      <c r="D130" s="17">
        <f t="shared" ref="D130:P130" si="55">D128+D129</f>
        <v>3620000</v>
      </c>
      <c r="E130" s="27">
        <f t="shared" si="55"/>
        <v>0</v>
      </c>
      <c r="F130" s="27">
        <f t="shared" si="55"/>
        <v>0</v>
      </c>
      <c r="G130" s="27">
        <f t="shared" si="55"/>
        <v>0</v>
      </c>
      <c r="H130" s="27">
        <f t="shared" si="55"/>
        <v>0</v>
      </c>
      <c r="I130" s="27">
        <f t="shared" si="55"/>
        <v>0</v>
      </c>
      <c r="J130" s="27">
        <f t="shared" si="55"/>
        <v>0</v>
      </c>
      <c r="K130" s="27">
        <f t="shared" si="55"/>
        <v>0</v>
      </c>
      <c r="L130" s="27">
        <f t="shared" si="55"/>
        <v>0</v>
      </c>
      <c r="M130" s="27">
        <f t="shared" si="55"/>
        <v>3620000</v>
      </c>
      <c r="N130" s="27">
        <f t="shared" si="55"/>
        <v>0</v>
      </c>
      <c r="O130" s="27">
        <f t="shared" si="55"/>
        <v>0</v>
      </c>
      <c r="P130" s="27">
        <f t="shared" si="55"/>
        <v>3620000</v>
      </c>
      <c r="Q130" s="35"/>
      <c r="R130" s="35"/>
      <c r="S130" s="28"/>
      <c r="T130" s="28"/>
      <c r="U130" s="28"/>
    </row>
    <row r="131" spans="1:21" s="45" customFormat="1" ht="15" customHeight="1">
      <c r="A131" s="1071" t="s">
        <v>93</v>
      </c>
      <c r="B131" s="1063" t="s">
        <v>94</v>
      </c>
      <c r="C131" s="42" t="s">
        <v>21</v>
      </c>
      <c r="D131" s="58">
        <f t="shared" ref="D131:P131" si="56">D134</f>
        <v>73901919</v>
      </c>
      <c r="E131" s="59">
        <f t="shared" si="56"/>
        <v>7772532</v>
      </c>
      <c r="F131" s="59">
        <f t="shared" si="56"/>
        <v>3695308</v>
      </c>
      <c r="G131" s="59">
        <f t="shared" si="56"/>
        <v>0</v>
      </c>
      <c r="H131" s="59">
        <f t="shared" si="56"/>
        <v>3695308</v>
      </c>
      <c r="I131" s="59">
        <f t="shared" si="56"/>
        <v>0</v>
      </c>
      <c r="J131" s="59">
        <f t="shared" si="56"/>
        <v>0</v>
      </c>
      <c r="K131" s="59">
        <f t="shared" si="56"/>
        <v>4077224</v>
      </c>
      <c r="L131" s="59">
        <f t="shared" si="56"/>
        <v>0</v>
      </c>
      <c r="M131" s="59">
        <f t="shared" si="56"/>
        <v>66129387</v>
      </c>
      <c r="N131" s="59">
        <f t="shared" si="56"/>
        <v>65074751</v>
      </c>
      <c r="O131" s="59">
        <f t="shared" si="56"/>
        <v>65074751</v>
      </c>
      <c r="P131" s="59">
        <f t="shared" si="56"/>
        <v>1054636</v>
      </c>
      <c r="Q131" s="43"/>
      <c r="R131" s="43"/>
      <c r="S131" s="44"/>
      <c r="T131" s="44"/>
      <c r="U131" s="44"/>
    </row>
    <row r="132" spans="1:21" s="45" customFormat="1" ht="15" customHeight="1">
      <c r="A132" s="1071"/>
      <c r="B132" s="1063"/>
      <c r="C132" s="42" t="s">
        <v>22</v>
      </c>
      <c r="D132" s="58">
        <f t="shared" ref="D132:P132" si="57">D135</f>
        <v>3862178</v>
      </c>
      <c r="E132" s="59">
        <f t="shared" si="57"/>
        <v>662178</v>
      </c>
      <c r="F132" s="59">
        <f t="shared" si="57"/>
        <v>662178</v>
      </c>
      <c r="G132" s="59">
        <f t="shared" si="57"/>
        <v>0</v>
      </c>
      <c r="H132" s="59">
        <f t="shared" si="57"/>
        <v>662178</v>
      </c>
      <c r="I132" s="59">
        <f t="shared" si="57"/>
        <v>0</v>
      </c>
      <c r="J132" s="59">
        <f t="shared" si="57"/>
        <v>0</v>
      </c>
      <c r="K132" s="59">
        <f t="shared" si="57"/>
        <v>0</v>
      </c>
      <c r="L132" s="59">
        <f t="shared" si="57"/>
        <v>0</v>
      </c>
      <c r="M132" s="59">
        <f t="shared" si="57"/>
        <v>3200000</v>
      </c>
      <c r="N132" s="59">
        <f t="shared" si="57"/>
        <v>0</v>
      </c>
      <c r="O132" s="59">
        <f t="shared" si="57"/>
        <v>0</v>
      </c>
      <c r="P132" s="59">
        <f t="shared" si="57"/>
        <v>3200000</v>
      </c>
      <c r="Q132" s="43"/>
      <c r="R132" s="43"/>
      <c r="S132" s="44"/>
      <c r="T132" s="44"/>
      <c r="U132" s="44"/>
    </row>
    <row r="133" spans="1:21" s="45" customFormat="1" ht="15" customHeight="1">
      <c r="A133" s="1071"/>
      <c r="B133" s="1063"/>
      <c r="C133" s="42" t="s">
        <v>23</v>
      </c>
      <c r="D133" s="58">
        <f t="shared" ref="D133:P133" si="58">D131+D132</f>
        <v>77764097</v>
      </c>
      <c r="E133" s="59">
        <f t="shared" si="58"/>
        <v>8434710</v>
      </c>
      <c r="F133" s="59">
        <f t="shared" si="58"/>
        <v>4357486</v>
      </c>
      <c r="G133" s="59">
        <f t="shared" si="58"/>
        <v>0</v>
      </c>
      <c r="H133" s="59">
        <f t="shared" si="58"/>
        <v>4357486</v>
      </c>
      <c r="I133" s="59">
        <f t="shared" si="58"/>
        <v>0</v>
      </c>
      <c r="J133" s="59">
        <f t="shared" si="58"/>
        <v>0</v>
      </c>
      <c r="K133" s="59">
        <f t="shared" si="58"/>
        <v>4077224</v>
      </c>
      <c r="L133" s="59">
        <f t="shared" si="58"/>
        <v>0</v>
      </c>
      <c r="M133" s="59">
        <f t="shared" si="58"/>
        <v>69329387</v>
      </c>
      <c r="N133" s="59">
        <f t="shared" si="58"/>
        <v>65074751</v>
      </c>
      <c r="O133" s="59">
        <f t="shared" si="58"/>
        <v>65074751</v>
      </c>
      <c r="P133" s="59">
        <f t="shared" si="58"/>
        <v>4254636</v>
      </c>
      <c r="Q133" s="43"/>
      <c r="R133" s="43"/>
      <c r="S133" s="44"/>
      <c r="T133" s="44"/>
      <c r="U133" s="44"/>
    </row>
    <row r="134" spans="1:21" s="57" customFormat="1" ht="13.15" customHeight="1">
      <c r="A134" s="1068" t="s">
        <v>95</v>
      </c>
      <c r="B134" s="1065" t="s">
        <v>37</v>
      </c>
      <c r="C134" s="26" t="s">
        <v>21</v>
      </c>
      <c r="D134" s="17">
        <f>E134+M134</f>
        <v>73901919</v>
      </c>
      <c r="E134" s="27">
        <f>F134+I134+J134+K134+L134</f>
        <v>7772532</v>
      </c>
      <c r="F134" s="27">
        <f>G134+H134</f>
        <v>3695308</v>
      </c>
      <c r="G134" s="27">
        <v>0</v>
      </c>
      <c r="H134" s="27">
        <v>3695308</v>
      </c>
      <c r="I134" s="27">
        <v>0</v>
      </c>
      <c r="J134" s="27">
        <v>0</v>
      </c>
      <c r="K134" s="27">
        <v>4077224</v>
      </c>
      <c r="L134" s="27">
        <v>0</v>
      </c>
      <c r="M134" s="27">
        <f>N134+P134</f>
        <v>66129387</v>
      </c>
      <c r="N134" s="27">
        <v>65074751</v>
      </c>
      <c r="O134" s="27">
        <v>65074751</v>
      </c>
      <c r="P134" s="27">
        <v>1054636</v>
      </c>
      <c r="Q134" s="55"/>
      <c r="R134" s="55"/>
      <c r="S134" s="56"/>
      <c r="T134" s="56"/>
      <c r="U134" s="56"/>
    </row>
    <row r="135" spans="1:21" s="57" customFormat="1">
      <c r="A135" s="1068"/>
      <c r="B135" s="1065"/>
      <c r="C135" s="26" t="s">
        <v>22</v>
      </c>
      <c r="D135" s="17">
        <f>E135+M135</f>
        <v>3862178</v>
      </c>
      <c r="E135" s="27">
        <f>F135+I135+J135+K135+L135</f>
        <v>662178</v>
      </c>
      <c r="F135" s="27">
        <f>G135+H135</f>
        <v>662178</v>
      </c>
      <c r="G135" s="27"/>
      <c r="H135" s="27">
        <v>662178</v>
      </c>
      <c r="I135" s="27"/>
      <c r="J135" s="27"/>
      <c r="K135" s="27"/>
      <c r="L135" s="27"/>
      <c r="M135" s="27">
        <f>N135+P135</f>
        <v>3200000</v>
      </c>
      <c r="N135" s="27"/>
      <c r="O135" s="27"/>
      <c r="P135" s="27">
        <v>3200000</v>
      </c>
      <c r="Q135" s="55"/>
      <c r="R135" s="55"/>
      <c r="S135" s="56"/>
      <c r="T135" s="56"/>
      <c r="U135" s="56"/>
    </row>
    <row r="136" spans="1:21" s="57" customFormat="1">
      <c r="A136" s="1068"/>
      <c r="B136" s="1065"/>
      <c r="C136" s="26" t="s">
        <v>23</v>
      </c>
      <c r="D136" s="17">
        <f t="shared" ref="D136:P136" si="59">D134+D135</f>
        <v>77764097</v>
      </c>
      <c r="E136" s="27">
        <f t="shared" si="59"/>
        <v>8434710</v>
      </c>
      <c r="F136" s="27">
        <f t="shared" si="59"/>
        <v>4357486</v>
      </c>
      <c r="G136" s="27">
        <f t="shared" si="59"/>
        <v>0</v>
      </c>
      <c r="H136" s="27">
        <f t="shared" si="59"/>
        <v>4357486</v>
      </c>
      <c r="I136" s="27">
        <f t="shared" si="59"/>
        <v>0</v>
      </c>
      <c r="J136" s="27">
        <f t="shared" si="59"/>
        <v>0</v>
      </c>
      <c r="K136" s="27">
        <f t="shared" si="59"/>
        <v>4077224</v>
      </c>
      <c r="L136" s="27">
        <f t="shared" si="59"/>
        <v>0</v>
      </c>
      <c r="M136" s="27">
        <f t="shared" si="59"/>
        <v>69329387</v>
      </c>
      <c r="N136" s="27">
        <f t="shared" si="59"/>
        <v>65074751</v>
      </c>
      <c r="O136" s="27">
        <f t="shared" si="59"/>
        <v>65074751</v>
      </c>
      <c r="P136" s="27">
        <f t="shared" si="59"/>
        <v>4254636</v>
      </c>
      <c r="Q136" s="55"/>
      <c r="R136" s="55"/>
      <c r="S136" s="56"/>
      <c r="T136" s="56"/>
      <c r="U136" s="56"/>
    </row>
    <row r="137" spans="1:21" s="45" customFormat="1" ht="13.9" hidden="1" customHeight="1">
      <c r="A137" s="1071" t="s">
        <v>96</v>
      </c>
      <c r="B137" s="1063" t="s">
        <v>97</v>
      </c>
      <c r="C137" s="42" t="s">
        <v>21</v>
      </c>
      <c r="D137" s="58">
        <f t="shared" ref="D137:P137" si="60">D143+D140</f>
        <v>2807294</v>
      </c>
      <c r="E137" s="59">
        <f t="shared" si="60"/>
        <v>200000</v>
      </c>
      <c r="F137" s="59">
        <f t="shared" si="60"/>
        <v>0</v>
      </c>
      <c r="G137" s="59">
        <f t="shared" si="60"/>
        <v>0</v>
      </c>
      <c r="H137" s="59">
        <f t="shared" si="60"/>
        <v>0</v>
      </c>
      <c r="I137" s="59">
        <f t="shared" si="60"/>
        <v>200000</v>
      </c>
      <c r="J137" s="59">
        <f t="shared" si="60"/>
        <v>0</v>
      </c>
      <c r="K137" s="59">
        <f t="shared" si="60"/>
        <v>0</v>
      </c>
      <c r="L137" s="59">
        <f t="shared" si="60"/>
        <v>0</v>
      </c>
      <c r="M137" s="59">
        <f t="shared" si="60"/>
        <v>2607294</v>
      </c>
      <c r="N137" s="59">
        <f t="shared" si="60"/>
        <v>2607294</v>
      </c>
      <c r="O137" s="59">
        <f t="shared" si="60"/>
        <v>0</v>
      </c>
      <c r="P137" s="59">
        <f t="shared" si="60"/>
        <v>0</v>
      </c>
      <c r="Q137" s="43"/>
      <c r="R137" s="43"/>
      <c r="S137" s="44"/>
      <c r="T137" s="44"/>
      <c r="U137" s="44"/>
    </row>
    <row r="138" spans="1:21" s="45" customFormat="1" ht="14.25" hidden="1">
      <c r="A138" s="1071"/>
      <c r="B138" s="1063"/>
      <c r="C138" s="42" t="s">
        <v>22</v>
      </c>
      <c r="D138" s="58">
        <f t="shared" ref="D138:P138" si="61">D144+D141</f>
        <v>0</v>
      </c>
      <c r="E138" s="59">
        <f t="shared" si="61"/>
        <v>0</v>
      </c>
      <c r="F138" s="59">
        <f t="shared" si="61"/>
        <v>0</v>
      </c>
      <c r="G138" s="59">
        <f t="shared" si="61"/>
        <v>0</v>
      </c>
      <c r="H138" s="59">
        <f t="shared" si="61"/>
        <v>0</v>
      </c>
      <c r="I138" s="59">
        <f t="shared" si="61"/>
        <v>0</v>
      </c>
      <c r="J138" s="59">
        <f t="shared" si="61"/>
        <v>0</v>
      </c>
      <c r="K138" s="59">
        <f t="shared" si="61"/>
        <v>0</v>
      </c>
      <c r="L138" s="59">
        <f t="shared" si="61"/>
        <v>0</v>
      </c>
      <c r="M138" s="59">
        <f t="shared" si="61"/>
        <v>0</v>
      </c>
      <c r="N138" s="59">
        <f t="shared" si="61"/>
        <v>0</v>
      </c>
      <c r="O138" s="59">
        <f t="shared" si="61"/>
        <v>0</v>
      </c>
      <c r="P138" s="59">
        <f t="shared" si="61"/>
        <v>0</v>
      </c>
      <c r="Q138" s="43"/>
      <c r="R138" s="43"/>
      <c r="S138" s="44"/>
      <c r="T138" s="44"/>
      <c r="U138" s="44"/>
    </row>
    <row r="139" spans="1:21" s="45" customFormat="1" ht="14.25" hidden="1">
      <c r="A139" s="1071"/>
      <c r="B139" s="1063"/>
      <c r="C139" s="42" t="s">
        <v>23</v>
      </c>
      <c r="D139" s="58">
        <f t="shared" ref="D139:P139" si="62">D137+D138</f>
        <v>2807294</v>
      </c>
      <c r="E139" s="59">
        <f t="shared" si="62"/>
        <v>200000</v>
      </c>
      <c r="F139" s="59">
        <f t="shared" si="62"/>
        <v>0</v>
      </c>
      <c r="G139" s="59">
        <f t="shared" si="62"/>
        <v>0</v>
      </c>
      <c r="H139" s="59">
        <f t="shared" si="62"/>
        <v>0</v>
      </c>
      <c r="I139" s="59">
        <f t="shared" si="62"/>
        <v>200000</v>
      </c>
      <c r="J139" s="59">
        <f t="shared" si="62"/>
        <v>0</v>
      </c>
      <c r="K139" s="59">
        <f t="shared" si="62"/>
        <v>0</v>
      </c>
      <c r="L139" s="59">
        <f t="shared" si="62"/>
        <v>0</v>
      </c>
      <c r="M139" s="59">
        <f t="shared" si="62"/>
        <v>2607294</v>
      </c>
      <c r="N139" s="59">
        <f t="shared" si="62"/>
        <v>2607294</v>
      </c>
      <c r="O139" s="59">
        <f t="shared" si="62"/>
        <v>0</v>
      </c>
      <c r="P139" s="59">
        <f t="shared" si="62"/>
        <v>0</v>
      </c>
      <c r="Q139" s="43"/>
      <c r="R139" s="43"/>
      <c r="S139" s="44"/>
      <c r="T139" s="44"/>
      <c r="U139" s="44"/>
    </row>
    <row r="140" spans="1:21" s="57" customFormat="1" ht="13.15" hidden="1" customHeight="1">
      <c r="A140" s="1068" t="s">
        <v>98</v>
      </c>
      <c r="B140" s="1065" t="s">
        <v>99</v>
      </c>
      <c r="C140" s="26" t="s">
        <v>21</v>
      </c>
      <c r="D140" s="17">
        <f>E140+M140</f>
        <v>200000</v>
      </c>
      <c r="E140" s="27">
        <f>F140+I140+J140+K140+L140</f>
        <v>200000</v>
      </c>
      <c r="F140" s="27">
        <f>G140+H140</f>
        <v>0</v>
      </c>
      <c r="G140" s="27">
        <v>0</v>
      </c>
      <c r="H140" s="27">
        <v>0</v>
      </c>
      <c r="I140" s="27">
        <v>200000</v>
      </c>
      <c r="J140" s="27">
        <v>0</v>
      </c>
      <c r="K140" s="27">
        <v>0</v>
      </c>
      <c r="L140" s="27">
        <v>0</v>
      </c>
      <c r="M140" s="27">
        <f>N140+P140</f>
        <v>0</v>
      </c>
      <c r="N140" s="27">
        <v>0</v>
      </c>
      <c r="O140" s="27">
        <v>0</v>
      </c>
      <c r="P140" s="27">
        <v>0</v>
      </c>
      <c r="Q140" s="55"/>
      <c r="R140" s="55"/>
      <c r="S140" s="56"/>
      <c r="T140" s="56"/>
      <c r="U140" s="56"/>
    </row>
    <row r="141" spans="1:21" s="57" customFormat="1" hidden="1">
      <c r="A141" s="1068"/>
      <c r="B141" s="1065"/>
      <c r="C141" s="26" t="s">
        <v>22</v>
      </c>
      <c r="D141" s="17">
        <f>E141+M141</f>
        <v>0</v>
      </c>
      <c r="E141" s="27">
        <f>F141+I141+J141+K141+L141</f>
        <v>0</v>
      </c>
      <c r="F141" s="27">
        <f>G141+H141</f>
        <v>0</v>
      </c>
      <c r="G141" s="27"/>
      <c r="H141" s="27"/>
      <c r="I141" s="27"/>
      <c r="J141" s="27"/>
      <c r="K141" s="27"/>
      <c r="L141" s="27"/>
      <c r="M141" s="27">
        <f>N141+P141</f>
        <v>0</v>
      </c>
      <c r="N141" s="27"/>
      <c r="O141" s="27"/>
      <c r="P141" s="27"/>
      <c r="Q141" s="55"/>
      <c r="R141" s="55"/>
      <c r="S141" s="56"/>
      <c r="T141" s="56"/>
      <c r="U141" s="56"/>
    </row>
    <row r="142" spans="1:21" s="57" customFormat="1" hidden="1">
      <c r="A142" s="1068"/>
      <c r="B142" s="1065"/>
      <c r="C142" s="26" t="s">
        <v>23</v>
      </c>
      <c r="D142" s="17">
        <f t="shared" ref="D142:P142" si="63">D140+D141</f>
        <v>200000</v>
      </c>
      <c r="E142" s="27">
        <f t="shared" si="63"/>
        <v>200000</v>
      </c>
      <c r="F142" s="27">
        <f t="shared" si="63"/>
        <v>0</v>
      </c>
      <c r="G142" s="27">
        <f t="shared" si="63"/>
        <v>0</v>
      </c>
      <c r="H142" s="27">
        <f t="shared" si="63"/>
        <v>0</v>
      </c>
      <c r="I142" s="27">
        <f t="shared" si="63"/>
        <v>200000</v>
      </c>
      <c r="J142" s="27">
        <f t="shared" si="63"/>
        <v>0</v>
      </c>
      <c r="K142" s="27">
        <f t="shared" si="63"/>
        <v>0</v>
      </c>
      <c r="L142" s="27">
        <f t="shared" si="63"/>
        <v>0</v>
      </c>
      <c r="M142" s="27">
        <f t="shared" si="63"/>
        <v>0</v>
      </c>
      <c r="N142" s="27">
        <f t="shared" si="63"/>
        <v>0</v>
      </c>
      <c r="O142" s="27">
        <f t="shared" si="63"/>
        <v>0</v>
      </c>
      <c r="P142" s="27">
        <f t="shared" si="63"/>
        <v>0</v>
      </c>
      <c r="Q142" s="55"/>
      <c r="R142" s="55"/>
      <c r="S142" s="56"/>
      <c r="T142" s="56"/>
      <c r="U142" s="56"/>
    </row>
    <row r="143" spans="1:21" s="57" customFormat="1" ht="13.15" hidden="1" customHeight="1">
      <c r="A143" s="1068" t="s">
        <v>100</v>
      </c>
      <c r="B143" s="1065" t="s">
        <v>37</v>
      </c>
      <c r="C143" s="26" t="s">
        <v>21</v>
      </c>
      <c r="D143" s="17">
        <f>E143+M143</f>
        <v>2607294</v>
      </c>
      <c r="E143" s="27">
        <f>F143+I143+J143+K143+L143</f>
        <v>0</v>
      </c>
      <c r="F143" s="27">
        <f>G143+H143</f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f>N143+P143</f>
        <v>2607294</v>
      </c>
      <c r="N143" s="27">
        <v>2607294</v>
      </c>
      <c r="O143" s="27">
        <v>0</v>
      </c>
      <c r="P143" s="27">
        <v>0</v>
      </c>
      <c r="Q143" s="55"/>
      <c r="R143" s="55"/>
      <c r="S143" s="56"/>
      <c r="T143" s="56"/>
      <c r="U143" s="56"/>
    </row>
    <row r="144" spans="1:21" s="57" customFormat="1" hidden="1">
      <c r="A144" s="1068"/>
      <c r="B144" s="1065"/>
      <c r="C144" s="26" t="s">
        <v>22</v>
      </c>
      <c r="D144" s="17">
        <f>E144+M144</f>
        <v>0</v>
      </c>
      <c r="E144" s="27">
        <f>F144+I144+J144+K144+L144</f>
        <v>0</v>
      </c>
      <c r="F144" s="27">
        <f>G144+H144</f>
        <v>0</v>
      </c>
      <c r="G144" s="27"/>
      <c r="H144" s="27"/>
      <c r="I144" s="27"/>
      <c r="J144" s="27"/>
      <c r="K144" s="27"/>
      <c r="L144" s="27"/>
      <c r="M144" s="27">
        <f>N144+P144</f>
        <v>0</v>
      </c>
      <c r="N144" s="27"/>
      <c r="O144" s="27"/>
      <c r="P144" s="27"/>
      <c r="Q144" s="55"/>
      <c r="R144" s="55"/>
      <c r="S144" s="56"/>
      <c r="T144" s="56"/>
      <c r="U144" s="56"/>
    </row>
    <row r="145" spans="1:21" s="57" customFormat="1" hidden="1">
      <c r="A145" s="1068"/>
      <c r="B145" s="1065"/>
      <c r="C145" s="26" t="s">
        <v>23</v>
      </c>
      <c r="D145" s="17">
        <f t="shared" ref="D145:P145" si="64">D143+D144</f>
        <v>2607294</v>
      </c>
      <c r="E145" s="27">
        <f t="shared" si="64"/>
        <v>0</v>
      </c>
      <c r="F145" s="27">
        <f t="shared" si="64"/>
        <v>0</v>
      </c>
      <c r="G145" s="27">
        <f t="shared" si="64"/>
        <v>0</v>
      </c>
      <c r="H145" s="27">
        <f t="shared" si="64"/>
        <v>0</v>
      </c>
      <c r="I145" s="27">
        <f t="shared" si="64"/>
        <v>0</v>
      </c>
      <c r="J145" s="27">
        <f t="shared" si="64"/>
        <v>0</v>
      </c>
      <c r="K145" s="27">
        <f t="shared" si="64"/>
        <v>0</v>
      </c>
      <c r="L145" s="27">
        <f t="shared" si="64"/>
        <v>0</v>
      </c>
      <c r="M145" s="27">
        <f t="shared" si="64"/>
        <v>2607294</v>
      </c>
      <c r="N145" s="27">
        <f t="shared" si="64"/>
        <v>2607294</v>
      </c>
      <c r="O145" s="27">
        <f t="shared" si="64"/>
        <v>0</v>
      </c>
      <c r="P145" s="27">
        <f t="shared" si="64"/>
        <v>0</v>
      </c>
      <c r="Q145" s="55"/>
      <c r="R145" s="55"/>
      <c r="S145" s="56"/>
      <c r="T145" s="56"/>
      <c r="U145" s="56"/>
    </row>
    <row r="146" spans="1:21" s="45" customFormat="1" ht="13.9" customHeight="1">
      <c r="A146" s="1071" t="s">
        <v>101</v>
      </c>
      <c r="B146" s="1063" t="s">
        <v>102</v>
      </c>
      <c r="C146" s="42" t="s">
        <v>21</v>
      </c>
      <c r="D146" s="30">
        <f t="shared" ref="D146:P146" si="65">D149+D152+D155+D158+D164+D161</f>
        <v>114482050</v>
      </c>
      <c r="E146" s="31">
        <f t="shared" si="65"/>
        <v>113271275</v>
      </c>
      <c r="F146" s="31">
        <f t="shared" si="65"/>
        <v>57639022</v>
      </c>
      <c r="G146" s="31">
        <f t="shared" si="65"/>
        <v>37593000</v>
      </c>
      <c r="H146" s="31">
        <f t="shared" si="65"/>
        <v>20046022</v>
      </c>
      <c r="I146" s="31">
        <f t="shared" si="65"/>
        <v>135000</v>
      </c>
      <c r="J146" s="31">
        <f t="shared" si="65"/>
        <v>1046500</v>
      </c>
      <c r="K146" s="31">
        <f t="shared" si="65"/>
        <v>54450753</v>
      </c>
      <c r="L146" s="31">
        <f t="shared" si="65"/>
        <v>0</v>
      </c>
      <c r="M146" s="31">
        <f t="shared" si="65"/>
        <v>1210775</v>
      </c>
      <c r="N146" s="31">
        <f t="shared" si="65"/>
        <v>1210775</v>
      </c>
      <c r="O146" s="31">
        <f t="shared" si="65"/>
        <v>40000</v>
      </c>
      <c r="P146" s="31">
        <f t="shared" si="65"/>
        <v>0</v>
      </c>
      <c r="Q146" s="43"/>
      <c r="R146" s="43"/>
      <c r="S146" s="44"/>
      <c r="T146" s="44"/>
      <c r="U146" s="44"/>
    </row>
    <row r="147" spans="1:21" s="45" customFormat="1" ht="14.25">
      <c r="A147" s="1071"/>
      <c r="B147" s="1063"/>
      <c r="C147" s="42" t="s">
        <v>22</v>
      </c>
      <c r="D147" s="30">
        <f t="shared" ref="D147:P147" si="66">D150+D153+D156+D159+D165+D162</f>
        <v>-614702</v>
      </c>
      <c r="E147" s="31">
        <f t="shared" si="66"/>
        <v>-484902</v>
      </c>
      <c r="F147" s="31">
        <f t="shared" si="66"/>
        <v>-296164</v>
      </c>
      <c r="G147" s="31">
        <f t="shared" si="66"/>
        <v>0</v>
      </c>
      <c r="H147" s="31">
        <f t="shared" si="66"/>
        <v>-296164</v>
      </c>
      <c r="I147" s="31">
        <f t="shared" si="66"/>
        <v>-33000</v>
      </c>
      <c r="J147" s="31">
        <f t="shared" si="66"/>
        <v>-155738</v>
      </c>
      <c r="K147" s="31">
        <f t="shared" si="66"/>
        <v>0</v>
      </c>
      <c r="L147" s="31">
        <f t="shared" si="66"/>
        <v>0</v>
      </c>
      <c r="M147" s="31">
        <f t="shared" si="66"/>
        <v>-129800</v>
      </c>
      <c r="N147" s="31">
        <f t="shared" si="66"/>
        <v>-129800</v>
      </c>
      <c r="O147" s="31">
        <f t="shared" si="66"/>
        <v>0</v>
      </c>
      <c r="P147" s="31">
        <f t="shared" si="66"/>
        <v>0</v>
      </c>
      <c r="Q147" s="43"/>
      <c r="R147" s="43"/>
      <c r="S147" s="44"/>
      <c r="T147" s="44"/>
      <c r="U147" s="44"/>
    </row>
    <row r="148" spans="1:21" s="45" customFormat="1" ht="14.25">
      <c r="A148" s="1071"/>
      <c r="B148" s="1063"/>
      <c r="C148" s="42" t="s">
        <v>23</v>
      </c>
      <c r="D148" s="30">
        <f t="shared" ref="D148:P148" si="67">D146+D147</f>
        <v>113867348</v>
      </c>
      <c r="E148" s="31">
        <f t="shared" si="67"/>
        <v>112786373</v>
      </c>
      <c r="F148" s="31">
        <f t="shared" si="67"/>
        <v>57342858</v>
      </c>
      <c r="G148" s="31">
        <f t="shared" si="67"/>
        <v>37593000</v>
      </c>
      <c r="H148" s="31">
        <f t="shared" si="67"/>
        <v>19749858</v>
      </c>
      <c r="I148" s="31">
        <f t="shared" si="67"/>
        <v>102000</v>
      </c>
      <c r="J148" s="31">
        <f t="shared" si="67"/>
        <v>890762</v>
      </c>
      <c r="K148" s="31">
        <f t="shared" si="67"/>
        <v>54450753</v>
      </c>
      <c r="L148" s="31">
        <f t="shared" si="67"/>
        <v>0</v>
      </c>
      <c r="M148" s="31">
        <f t="shared" si="67"/>
        <v>1080975</v>
      </c>
      <c r="N148" s="31">
        <f t="shared" si="67"/>
        <v>1080975</v>
      </c>
      <c r="O148" s="31">
        <f t="shared" si="67"/>
        <v>40000</v>
      </c>
      <c r="P148" s="31">
        <f t="shared" si="67"/>
        <v>0</v>
      </c>
      <c r="Q148" s="43"/>
      <c r="R148" s="43"/>
      <c r="S148" s="44"/>
      <c r="T148" s="44"/>
      <c r="U148" s="44"/>
    </row>
    <row r="149" spans="1:21" s="57" customFormat="1" ht="13.15" hidden="1" customHeight="1">
      <c r="A149" s="1068" t="s">
        <v>103</v>
      </c>
      <c r="B149" s="1065" t="s">
        <v>104</v>
      </c>
      <c r="C149" s="26" t="s">
        <v>21</v>
      </c>
      <c r="D149" s="17">
        <f>E149+M149</f>
        <v>1460250</v>
      </c>
      <c r="E149" s="27">
        <f>F149+I149+J149+K149+L149</f>
        <v>1460250</v>
      </c>
      <c r="F149" s="27">
        <f>G149+H149</f>
        <v>649250</v>
      </c>
      <c r="G149" s="27">
        <v>43000</v>
      </c>
      <c r="H149" s="27">
        <v>606250</v>
      </c>
      <c r="I149" s="27">
        <v>0</v>
      </c>
      <c r="J149" s="27">
        <v>811000</v>
      </c>
      <c r="K149" s="27">
        <v>0</v>
      </c>
      <c r="L149" s="27">
        <v>0</v>
      </c>
      <c r="M149" s="27">
        <f>N149+P149</f>
        <v>0</v>
      </c>
      <c r="N149" s="27">
        <v>0</v>
      </c>
      <c r="O149" s="27">
        <v>0</v>
      </c>
      <c r="P149" s="27">
        <v>0</v>
      </c>
      <c r="Q149" s="55"/>
      <c r="R149" s="55"/>
      <c r="S149" s="56"/>
      <c r="T149" s="56"/>
      <c r="U149" s="56"/>
    </row>
    <row r="150" spans="1:21" s="57" customFormat="1" hidden="1">
      <c r="A150" s="1068"/>
      <c r="B150" s="1065"/>
      <c r="C150" s="26" t="s">
        <v>22</v>
      </c>
      <c r="D150" s="17">
        <f>E150+M150</f>
        <v>0</v>
      </c>
      <c r="E150" s="27">
        <f>F150+I150+J150+K150+L150</f>
        <v>0</v>
      </c>
      <c r="F150" s="27">
        <f>G150+H150</f>
        <v>0</v>
      </c>
      <c r="G150" s="27"/>
      <c r="H150" s="27"/>
      <c r="I150" s="27"/>
      <c r="J150" s="27"/>
      <c r="K150" s="27"/>
      <c r="L150" s="27"/>
      <c r="M150" s="27">
        <f>N150+P150</f>
        <v>0</v>
      </c>
      <c r="N150" s="27"/>
      <c r="O150" s="27"/>
      <c r="P150" s="27"/>
      <c r="Q150" s="55"/>
      <c r="R150" s="55"/>
      <c r="S150" s="56"/>
      <c r="T150" s="56"/>
      <c r="U150" s="56"/>
    </row>
    <row r="151" spans="1:21" s="57" customFormat="1" hidden="1">
      <c r="A151" s="1068"/>
      <c r="B151" s="1065"/>
      <c r="C151" s="26" t="s">
        <v>23</v>
      </c>
      <c r="D151" s="17">
        <f t="shared" ref="D151:P151" si="68">D149+D150</f>
        <v>1460250</v>
      </c>
      <c r="E151" s="27">
        <f t="shared" si="68"/>
        <v>1460250</v>
      </c>
      <c r="F151" s="27">
        <f t="shared" si="68"/>
        <v>649250</v>
      </c>
      <c r="G151" s="27">
        <f t="shared" si="68"/>
        <v>43000</v>
      </c>
      <c r="H151" s="27">
        <f t="shared" si="68"/>
        <v>606250</v>
      </c>
      <c r="I151" s="27">
        <f t="shared" si="68"/>
        <v>0</v>
      </c>
      <c r="J151" s="27">
        <f t="shared" si="68"/>
        <v>811000</v>
      </c>
      <c r="K151" s="27">
        <f t="shared" si="68"/>
        <v>0</v>
      </c>
      <c r="L151" s="27">
        <f t="shared" si="68"/>
        <v>0</v>
      </c>
      <c r="M151" s="27">
        <f t="shared" si="68"/>
        <v>0</v>
      </c>
      <c r="N151" s="27">
        <f t="shared" si="68"/>
        <v>0</v>
      </c>
      <c r="O151" s="27">
        <f t="shared" si="68"/>
        <v>0</v>
      </c>
      <c r="P151" s="27">
        <f t="shared" si="68"/>
        <v>0</v>
      </c>
      <c r="Q151" s="55"/>
      <c r="R151" s="55"/>
      <c r="S151" s="56"/>
      <c r="T151" s="56"/>
      <c r="U151" s="56"/>
    </row>
    <row r="152" spans="1:21" s="57" customFormat="1" ht="13.15" customHeight="1">
      <c r="A152" s="1068" t="s">
        <v>105</v>
      </c>
      <c r="B152" s="1065" t="s">
        <v>106</v>
      </c>
      <c r="C152" s="26" t="s">
        <v>21</v>
      </c>
      <c r="D152" s="17">
        <f>E152+M152</f>
        <v>89266668</v>
      </c>
      <c r="E152" s="27">
        <f>F152+I152+J152+K152+L152</f>
        <v>88055893</v>
      </c>
      <c r="F152" s="27">
        <f>G152+H152</f>
        <v>46734364</v>
      </c>
      <c r="G152" s="27">
        <v>37350000</v>
      </c>
      <c r="H152" s="27">
        <v>9384364</v>
      </c>
      <c r="I152" s="27">
        <v>0</v>
      </c>
      <c r="J152" s="27">
        <v>76000</v>
      </c>
      <c r="K152" s="27">
        <v>41245529</v>
      </c>
      <c r="L152" s="27">
        <v>0</v>
      </c>
      <c r="M152" s="27">
        <f>N152+P152</f>
        <v>1210775</v>
      </c>
      <c r="N152" s="27">
        <v>1210775</v>
      </c>
      <c r="O152" s="27">
        <f>34000+6000</f>
        <v>40000</v>
      </c>
      <c r="P152" s="27">
        <v>0</v>
      </c>
      <c r="Q152" s="55"/>
      <c r="R152" s="55"/>
      <c r="S152" s="56"/>
      <c r="T152" s="56"/>
      <c r="U152" s="56"/>
    </row>
    <row r="153" spans="1:21" s="57" customFormat="1">
      <c r="A153" s="1068"/>
      <c r="B153" s="1065"/>
      <c r="C153" s="26" t="s">
        <v>22</v>
      </c>
      <c r="D153" s="17">
        <f>E153+M153</f>
        <v>-129800</v>
      </c>
      <c r="E153" s="27">
        <f>F153+I153+J153+K153+L153</f>
        <v>0</v>
      </c>
      <c r="F153" s="27">
        <f>G153+H153</f>
        <v>0</v>
      </c>
      <c r="G153" s="27"/>
      <c r="H153" s="27">
        <f>95000+15000-25000-50000-35000</f>
        <v>0</v>
      </c>
      <c r="I153" s="27"/>
      <c r="J153" s="27"/>
      <c r="K153" s="27">
        <f>-3315-585+879567+155218-287733-50776-27335-4824-8500-1500-237556-41923-1700-300-241433-42605-71995-12705</f>
        <v>0</v>
      </c>
      <c r="L153" s="27"/>
      <c r="M153" s="27">
        <f>N153+P153</f>
        <v>-129800</v>
      </c>
      <c r="N153" s="27">
        <f>-150000+20200</f>
        <v>-129800</v>
      </c>
      <c r="O153" s="27"/>
      <c r="P153" s="27"/>
      <c r="Q153" s="55"/>
      <c r="R153" s="55"/>
      <c r="S153" s="56"/>
      <c r="T153" s="56"/>
      <c r="U153" s="56"/>
    </row>
    <row r="154" spans="1:21" s="57" customFormat="1">
      <c r="A154" s="1068"/>
      <c r="B154" s="1065"/>
      <c r="C154" s="26" t="s">
        <v>23</v>
      </c>
      <c r="D154" s="17">
        <f t="shared" ref="D154:P154" si="69">D152+D153</f>
        <v>89136868</v>
      </c>
      <c r="E154" s="27">
        <f t="shared" si="69"/>
        <v>88055893</v>
      </c>
      <c r="F154" s="27">
        <f t="shared" si="69"/>
        <v>46734364</v>
      </c>
      <c r="G154" s="27">
        <f t="shared" si="69"/>
        <v>37350000</v>
      </c>
      <c r="H154" s="27">
        <f t="shared" si="69"/>
        <v>9384364</v>
      </c>
      <c r="I154" s="27">
        <f t="shared" si="69"/>
        <v>0</v>
      </c>
      <c r="J154" s="27">
        <f t="shared" si="69"/>
        <v>76000</v>
      </c>
      <c r="K154" s="27">
        <f t="shared" si="69"/>
        <v>41245529</v>
      </c>
      <c r="L154" s="27">
        <f t="shared" si="69"/>
        <v>0</v>
      </c>
      <c r="M154" s="27">
        <f t="shared" si="69"/>
        <v>1080975</v>
      </c>
      <c r="N154" s="27">
        <f t="shared" si="69"/>
        <v>1080975</v>
      </c>
      <c r="O154" s="27">
        <f t="shared" si="69"/>
        <v>40000</v>
      </c>
      <c r="P154" s="27">
        <f t="shared" si="69"/>
        <v>0</v>
      </c>
      <c r="Q154" s="55"/>
      <c r="R154" s="55"/>
      <c r="S154" s="56"/>
      <c r="T154" s="56"/>
      <c r="U154" s="56"/>
    </row>
    <row r="155" spans="1:21" s="19" customFormat="1" ht="13.15" hidden="1" customHeight="1">
      <c r="A155" s="1068" t="s">
        <v>107</v>
      </c>
      <c r="B155" s="1065" t="s">
        <v>108</v>
      </c>
      <c r="C155" s="26" t="s">
        <v>21</v>
      </c>
      <c r="D155" s="17">
        <f>E155+M155</f>
        <v>450000</v>
      </c>
      <c r="E155" s="27">
        <f>F155+I155+J155+K155+L155</f>
        <v>450000</v>
      </c>
      <c r="F155" s="27">
        <f>G155+H155</f>
        <v>450000</v>
      </c>
      <c r="G155" s="27">
        <v>0</v>
      </c>
      <c r="H155" s="27">
        <v>450000</v>
      </c>
      <c r="I155" s="27">
        <v>0</v>
      </c>
      <c r="J155" s="27">
        <v>0</v>
      </c>
      <c r="K155" s="27">
        <v>0</v>
      </c>
      <c r="L155" s="27">
        <v>0</v>
      </c>
      <c r="M155" s="27">
        <f>N155+P155</f>
        <v>0</v>
      </c>
      <c r="N155" s="27">
        <v>0</v>
      </c>
      <c r="O155" s="27">
        <v>0</v>
      </c>
      <c r="P155" s="27">
        <v>0</v>
      </c>
      <c r="Q155" s="35"/>
      <c r="R155" s="35"/>
      <c r="S155" s="28"/>
      <c r="T155" s="28"/>
      <c r="U155" s="28"/>
    </row>
    <row r="156" spans="1:21" s="19" customFormat="1" hidden="1">
      <c r="A156" s="1068"/>
      <c r="B156" s="1065"/>
      <c r="C156" s="26" t="s">
        <v>22</v>
      </c>
      <c r="D156" s="17">
        <f>E156+M156</f>
        <v>0</v>
      </c>
      <c r="E156" s="27">
        <f>F156+I156+J156+K156+L156</f>
        <v>0</v>
      </c>
      <c r="F156" s="27">
        <f>G156+H156</f>
        <v>0</v>
      </c>
      <c r="G156" s="27"/>
      <c r="H156" s="27"/>
      <c r="I156" s="27"/>
      <c r="J156" s="27"/>
      <c r="K156" s="27"/>
      <c r="L156" s="27"/>
      <c r="M156" s="27">
        <f>N156+P156</f>
        <v>0</v>
      </c>
      <c r="N156" s="27"/>
      <c r="O156" s="27"/>
      <c r="P156" s="27"/>
      <c r="Q156" s="35"/>
      <c r="R156" s="35"/>
      <c r="S156" s="28"/>
      <c r="T156" s="28"/>
      <c r="U156" s="28"/>
    </row>
    <row r="157" spans="1:21" s="19" customFormat="1" hidden="1">
      <c r="A157" s="1068"/>
      <c r="B157" s="1065"/>
      <c r="C157" s="26" t="s">
        <v>23</v>
      </c>
      <c r="D157" s="17">
        <f t="shared" ref="D157:P157" si="70">D155+D156</f>
        <v>450000</v>
      </c>
      <c r="E157" s="27">
        <f t="shared" si="70"/>
        <v>450000</v>
      </c>
      <c r="F157" s="27">
        <f t="shared" si="70"/>
        <v>450000</v>
      </c>
      <c r="G157" s="27">
        <f t="shared" si="70"/>
        <v>0</v>
      </c>
      <c r="H157" s="27">
        <f t="shared" si="70"/>
        <v>450000</v>
      </c>
      <c r="I157" s="27">
        <f t="shared" si="70"/>
        <v>0</v>
      </c>
      <c r="J157" s="27">
        <f t="shared" si="70"/>
        <v>0</v>
      </c>
      <c r="K157" s="27">
        <f t="shared" si="70"/>
        <v>0</v>
      </c>
      <c r="L157" s="27">
        <f t="shared" si="70"/>
        <v>0</v>
      </c>
      <c r="M157" s="27">
        <f t="shared" si="70"/>
        <v>0</v>
      </c>
      <c r="N157" s="27">
        <f t="shared" si="70"/>
        <v>0</v>
      </c>
      <c r="O157" s="27">
        <f t="shared" si="70"/>
        <v>0</v>
      </c>
      <c r="P157" s="27">
        <f t="shared" si="70"/>
        <v>0</v>
      </c>
      <c r="Q157" s="35"/>
      <c r="R157" s="35"/>
      <c r="S157" s="28"/>
      <c r="T157" s="28"/>
      <c r="U157" s="28"/>
    </row>
    <row r="158" spans="1:21" s="57" customFormat="1" ht="13.15" hidden="1" customHeight="1">
      <c r="A158" s="1068" t="s">
        <v>109</v>
      </c>
      <c r="B158" s="1065" t="s">
        <v>110</v>
      </c>
      <c r="C158" s="26" t="s">
        <v>21</v>
      </c>
      <c r="D158" s="17">
        <f>E158+M158</f>
        <v>19170912</v>
      </c>
      <c r="E158" s="27">
        <f>F158+I158+J158+K158+L158</f>
        <v>19170912</v>
      </c>
      <c r="F158" s="27">
        <f>G158+H158</f>
        <v>7976352</v>
      </c>
      <c r="G158" s="27">
        <v>84000</v>
      </c>
      <c r="H158" s="27">
        <v>7892352</v>
      </c>
      <c r="I158" s="27">
        <v>0</v>
      </c>
      <c r="J158" s="27">
        <v>1000</v>
      </c>
      <c r="K158" s="27">
        <v>11193560</v>
      </c>
      <c r="L158" s="27">
        <v>0</v>
      </c>
      <c r="M158" s="27">
        <f>N158+P158</f>
        <v>0</v>
      </c>
      <c r="N158" s="27">
        <v>0</v>
      </c>
      <c r="O158" s="27">
        <v>0</v>
      </c>
      <c r="P158" s="27">
        <v>0</v>
      </c>
      <c r="Q158" s="55"/>
      <c r="R158" s="55"/>
      <c r="S158" s="56"/>
      <c r="T158" s="56"/>
      <c r="U158" s="56"/>
    </row>
    <row r="159" spans="1:21" s="57" customFormat="1" hidden="1">
      <c r="A159" s="1068"/>
      <c r="B159" s="1065"/>
      <c r="C159" s="26" t="s">
        <v>22</v>
      </c>
      <c r="D159" s="17">
        <f>E159+M159</f>
        <v>0</v>
      </c>
      <c r="E159" s="27">
        <f>F159+I159+J159+K159+L159</f>
        <v>0</v>
      </c>
      <c r="F159" s="27">
        <f>G159+H159</f>
        <v>0</v>
      </c>
      <c r="G159" s="27"/>
      <c r="H159" s="27"/>
      <c r="I159" s="27"/>
      <c r="J159" s="27"/>
      <c r="K159" s="27"/>
      <c r="L159" s="27"/>
      <c r="M159" s="27">
        <f>N159+P159</f>
        <v>0</v>
      </c>
      <c r="N159" s="27"/>
      <c r="O159" s="27"/>
      <c r="P159" s="27"/>
      <c r="Q159" s="55"/>
      <c r="R159" s="55"/>
      <c r="S159" s="56"/>
      <c r="T159" s="56"/>
      <c r="U159" s="56"/>
    </row>
    <row r="160" spans="1:21" s="57" customFormat="1" hidden="1">
      <c r="A160" s="1068"/>
      <c r="B160" s="1065"/>
      <c r="C160" s="26" t="s">
        <v>23</v>
      </c>
      <c r="D160" s="17">
        <f t="shared" ref="D160:P160" si="71">D158+D159</f>
        <v>19170912</v>
      </c>
      <c r="E160" s="27">
        <f t="shared" si="71"/>
        <v>19170912</v>
      </c>
      <c r="F160" s="27">
        <f t="shared" si="71"/>
        <v>7976352</v>
      </c>
      <c r="G160" s="27">
        <f t="shared" si="71"/>
        <v>84000</v>
      </c>
      <c r="H160" s="27">
        <f t="shared" si="71"/>
        <v>7892352</v>
      </c>
      <c r="I160" s="27">
        <f t="shared" si="71"/>
        <v>0</v>
      </c>
      <c r="J160" s="27">
        <f t="shared" si="71"/>
        <v>1000</v>
      </c>
      <c r="K160" s="27">
        <f t="shared" si="71"/>
        <v>11193560</v>
      </c>
      <c r="L160" s="27">
        <f t="shared" si="71"/>
        <v>0</v>
      </c>
      <c r="M160" s="27">
        <f t="shared" si="71"/>
        <v>0</v>
      </c>
      <c r="N160" s="27">
        <f t="shared" si="71"/>
        <v>0</v>
      </c>
      <c r="O160" s="27">
        <f t="shared" si="71"/>
        <v>0</v>
      </c>
      <c r="P160" s="27">
        <f t="shared" si="71"/>
        <v>0</v>
      </c>
      <c r="Q160" s="55"/>
      <c r="R160" s="55"/>
      <c r="S160" s="56"/>
      <c r="T160" s="56"/>
      <c r="U160" s="56"/>
    </row>
    <row r="161" spans="1:21" s="19" customFormat="1" ht="13.15" hidden="1" customHeight="1">
      <c r="A161" s="1068" t="s">
        <v>111</v>
      </c>
      <c r="B161" s="1065" t="s">
        <v>112</v>
      </c>
      <c r="C161" s="26" t="s">
        <v>21</v>
      </c>
      <c r="D161" s="17">
        <f>E161+M161</f>
        <v>202000</v>
      </c>
      <c r="E161" s="27">
        <f>F161+I161+J161+K161+L161</f>
        <v>202000</v>
      </c>
      <c r="F161" s="27">
        <f>G161+H161</f>
        <v>200500</v>
      </c>
      <c r="G161" s="27">
        <v>101000</v>
      </c>
      <c r="H161" s="27">
        <v>99500</v>
      </c>
      <c r="I161" s="27">
        <v>0</v>
      </c>
      <c r="J161" s="27">
        <v>1500</v>
      </c>
      <c r="K161" s="27">
        <v>0</v>
      </c>
      <c r="L161" s="27">
        <v>0</v>
      </c>
      <c r="M161" s="27">
        <f>N161+P161</f>
        <v>0</v>
      </c>
      <c r="N161" s="27">
        <v>0</v>
      </c>
      <c r="O161" s="27">
        <v>0</v>
      </c>
      <c r="P161" s="27">
        <v>0</v>
      </c>
      <c r="Q161" s="35"/>
      <c r="R161" s="35"/>
      <c r="S161" s="28"/>
      <c r="T161" s="28"/>
      <c r="U161" s="28"/>
    </row>
    <row r="162" spans="1:21" s="19" customFormat="1" hidden="1">
      <c r="A162" s="1068"/>
      <c r="B162" s="1065"/>
      <c r="C162" s="26" t="s">
        <v>22</v>
      </c>
      <c r="D162" s="17">
        <f>E162+M162</f>
        <v>0</v>
      </c>
      <c r="E162" s="27">
        <f>F162+I162+J162+K162+L162</f>
        <v>0</v>
      </c>
      <c r="F162" s="27">
        <f>G162+H162</f>
        <v>0</v>
      </c>
      <c r="G162" s="27"/>
      <c r="H162" s="27"/>
      <c r="I162" s="27"/>
      <c r="J162" s="27"/>
      <c r="K162" s="27"/>
      <c r="L162" s="27"/>
      <c r="M162" s="27">
        <f>N162+P162</f>
        <v>0</v>
      </c>
      <c r="N162" s="27"/>
      <c r="O162" s="27"/>
      <c r="P162" s="27"/>
      <c r="Q162" s="35"/>
      <c r="R162" s="35"/>
      <c r="S162" s="28"/>
      <c r="T162" s="28"/>
      <c r="U162" s="28"/>
    </row>
    <row r="163" spans="1:21" s="19" customFormat="1" hidden="1">
      <c r="A163" s="1068"/>
      <c r="B163" s="1065"/>
      <c r="C163" s="26" t="s">
        <v>23</v>
      </c>
      <c r="D163" s="17">
        <f t="shared" ref="D163:P163" si="72">D161+D162</f>
        <v>202000</v>
      </c>
      <c r="E163" s="27">
        <f t="shared" si="72"/>
        <v>202000</v>
      </c>
      <c r="F163" s="27">
        <f t="shared" si="72"/>
        <v>200500</v>
      </c>
      <c r="G163" s="27">
        <f t="shared" si="72"/>
        <v>101000</v>
      </c>
      <c r="H163" s="27">
        <f t="shared" si="72"/>
        <v>99500</v>
      </c>
      <c r="I163" s="27">
        <f t="shared" si="72"/>
        <v>0</v>
      </c>
      <c r="J163" s="27">
        <f t="shared" si="72"/>
        <v>1500</v>
      </c>
      <c r="K163" s="27">
        <f t="shared" si="72"/>
        <v>0</v>
      </c>
      <c r="L163" s="27">
        <f t="shared" si="72"/>
        <v>0</v>
      </c>
      <c r="M163" s="27">
        <f t="shared" si="72"/>
        <v>0</v>
      </c>
      <c r="N163" s="27">
        <f t="shared" si="72"/>
        <v>0</v>
      </c>
      <c r="O163" s="27">
        <f t="shared" si="72"/>
        <v>0</v>
      </c>
      <c r="P163" s="27">
        <f t="shared" si="72"/>
        <v>0</v>
      </c>
      <c r="Q163" s="35"/>
      <c r="R163" s="35"/>
      <c r="S163" s="28"/>
      <c r="T163" s="28"/>
      <c r="U163" s="28"/>
    </row>
    <row r="164" spans="1:21" s="57" customFormat="1" ht="13.15" customHeight="1">
      <c r="A164" s="1068" t="s">
        <v>113</v>
      </c>
      <c r="B164" s="1065" t="s">
        <v>37</v>
      </c>
      <c r="C164" s="26" t="s">
        <v>21</v>
      </c>
      <c r="D164" s="17">
        <f>E164+M164</f>
        <v>3932220</v>
      </c>
      <c r="E164" s="27">
        <f>F164+I164+J164+K164+L164</f>
        <v>3932220</v>
      </c>
      <c r="F164" s="27">
        <f>G164+H164</f>
        <v>1628556</v>
      </c>
      <c r="G164" s="27">
        <v>15000</v>
      </c>
      <c r="H164" s="27">
        <v>1613556</v>
      </c>
      <c r="I164" s="27">
        <v>135000</v>
      </c>
      <c r="J164" s="27">
        <v>157000</v>
      </c>
      <c r="K164" s="27">
        <v>2011664</v>
      </c>
      <c r="L164" s="27">
        <v>0</v>
      </c>
      <c r="M164" s="27">
        <f>N164+P164</f>
        <v>0</v>
      </c>
      <c r="N164" s="27">
        <v>0</v>
      </c>
      <c r="O164" s="27">
        <v>0</v>
      </c>
      <c r="P164" s="27">
        <v>0</v>
      </c>
      <c r="Q164" s="55"/>
      <c r="R164" s="55"/>
      <c r="S164" s="56"/>
      <c r="T164" s="56"/>
      <c r="U164" s="56"/>
    </row>
    <row r="165" spans="1:21" s="57" customFormat="1">
      <c r="A165" s="1068"/>
      <c r="B165" s="1065"/>
      <c r="C165" s="26" t="s">
        <v>22</v>
      </c>
      <c r="D165" s="17">
        <f>E165+M165</f>
        <v>-484902</v>
      </c>
      <c r="E165" s="27">
        <f>F165+I165+J165+K165+L165</f>
        <v>-484902</v>
      </c>
      <c r="F165" s="27">
        <f>G165+H165</f>
        <v>-296164</v>
      </c>
      <c r="G165" s="27"/>
      <c r="H165" s="27">
        <f>-2551-12002-278911-2700</f>
        <v>-296164</v>
      </c>
      <c r="I165" s="27">
        <v>-33000</v>
      </c>
      <c r="J165" s="27">
        <f>-6238-149500</f>
        <v>-155738</v>
      </c>
      <c r="K165" s="27"/>
      <c r="L165" s="27"/>
      <c r="M165" s="27">
        <f>N165+P165</f>
        <v>0</v>
      </c>
      <c r="N165" s="27"/>
      <c r="O165" s="27"/>
      <c r="P165" s="27"/>
      <c r="Q165" s="55"/>
      <c r="R165" s="55"/>
      <c r="S165" s="56"/>
      <c r="T165" s="56"/>
      <c r="U165" s="56"/>
    </row>
    <row r="166" spans="1:21" s="57" customFormat="1">
      <c r="A166" s="1068"/>
      <c r="B166" s="1065"/>
      <c r="C166" s="26" t="s">
        <v>23</v>
      </c>
      <c r="D166" s="17">
        <f t="shared" ref="D166:P166" si="73">D164+D165</f>
        <v>3447318</v>
      </c>
      <c r="E166" s="27">
        <f t="shared" si="73"/>
        <v>3447318</v>
      </c>
      <c r="F166" s="27">
        <f t="shared" si="73"/>
        <v>1332392</v>
      </c>
      <c r="G166" s="27">
        <f t="shared" si="73"/>
        <v>15000</v>
      </c>
      <c r="H166" s="27">
        <f t="shared" si="73"/>
        <v>1317392</v>
      </c>
      <c r="I166" s="27">
        <f t="shared" si="73"/>
        <v>102000</v>
      </c>
      <c r="J166" s="27">
        <f t="shared" si="73"/>
        <v>1262</v>
      </c>
      <c r="K166" s="27">
        <f t="shared" si="73"/>
        <v>2011664</v>
      </c>
      <c r="L166" s="27">
        <f t="shared" si="73"/>
        <v>0</v>
      </c>
      <c r="M166" s="27">
        <f t="shared" si="73"/>
        <v>0</v>
      </c>
      <c r="N166" s="27">
        <f t="shared" si="73"/>
        <v>0</v>
      </c>
      <c r="O166" s="27">
        <f t="shared" si="73"/>
        <v>0</v>
      </c>
      <c r="P166" s="27">
        <f t="shared" si="73"/>
        <v>0</v>
      </c>
      <c r="Q166" s="55"/>
      <c r="R166" s="55"/>
      <c r="S166" s="56"/>
      <c r="T166" s="56"/>
      <c r="U166" s="56"/>
    </row>
    <row r="167" spans="1:21" s="45" customFormat="1" ht="13.9" hidden="1" customHeight="1">
      <c r="A167" s="1071" t="s">
        <v>114</v>
      </c>
      <c r="B167" s="1063" t="s">
        <v>115</v>
      </c>
      <c r="C167" s="42" t="s">
        <v>21</v>
      </c>
      <c r="D167" s="30">
        <f t="shared" ref="D167:P167" si="74">D170</f>
        <v>5000</v>
      </c>
      <c r="E167" s="31">
        <f t="shared" si="74"/>
        <v>5000</v>
      </c>
      <c r="F167" s="31">
        <f t="shared" si="74"/>
        <v>5000</v>
      </c>
      <c r="G167" s="31">
        <f t="shared" si="74"/>
        <v>0</v>
      </c>
      <c r="H167" s="31">
        <f t="shared" si="74"/>
        <v>5000</v>
      </c>
      <c r="I167" s="31">
        <f t="shared" si="74"/>
        <v>0</v>
      </c>
      <c r="J167" s="31">
        <f t="shared" si="74"/>
        <v>0</v>
      </c>
      <c r="K167" s="31">
        <f t="shared" si="74"/>
        <v>0</v>
      </c>
      <c r="L167" s="31">
        <f t="shared" si="74"/>
        <v>0</v>
      </c>
      <c r="M167" s="31">
        <f t="shared" si="74"/>
        <v>0</v>
      </c>
      <c r="N167" s="31">
        <f t="shared" si="74"/>
        <v>0</v>
      </c>
      <c r="O167" s="31">
        <f t="shared" si="74"/>
        <v>0</v>
      </c>
      <c r="P167" s="31">
        <f t="shared" si="74"/>
        <v>0</v>
      </c>
      <c r="Q167" s="43"/>
      <c r="R167" s="43"/>
      <c r="S167" s="44"/>
      <c r="T167" s="44"/>
      <c r="U167" s="44"/>
    </row>
    <row r="168" spans="1:21" s="45" customFormat="1" ht="14.25" hidden="1">
      <c r="A168" s="1071"/>
      <c r="B168" s="1063"/>
      <c r="C168" s="42" t="s">
        <v>22</v>
      </c>
      <c r="D168" s="30">
        <f t="shared" ref="D168:P168" si="75">D171</f>
        <v>0</v>
      </c>
      <c r="E168" s="31">
        <f t="shared" si="75"/>
        <v>0</v>
      </c>
      <c r="F168" s="31">
        <f t="shared" si="75"/>
        <v>0</v>
      </c>
      <c r="G168" s="31">
        <f t="shared" si="75"/>
        <v>0</v>
      </c>
      <c r="H168" s="31">
        <f t="shared" si="75"/>
        <v>0</v>
      </c>
      <c r="I168" s="31">
        <f t="shared" si="75"/>
        <v>0</v>
      </c>
      <c r="J168" s="31">
        <f t="shared" si="75"/>
        <v>0</v>
      </c>
      <c r="K168" s="31">
        <f t="shared" si="75"/>
        <v>0</v>
      </c>
      <c r="L168" s="31">
        <f t="shared" si="75"/>
        <v>0</v>
      </c>
      <c r="M168" s="31">
        <f t="shared" si="75"/>
        <v>0</v>
      </c>
      <c r="N168" s="31">
        <f t="shared" si="75"/>
        <v>0</v>
      </c>
      <c r="O168" s="31">
        <f t="shared" si="75"/>
        <v>0</v>
      </c>
      <c r="P168" s="31">
        <f t="shared" si="75"/>
        <v>0</v>
      </c>
      <c r="Q168" s="43"/>
      <c r="R168" s="43"/>
      <c r="S168" s="44"/>
      <c r="T168" s="44"/>
      <c r="U168" s="44"/>
    </row>
    <row r="169" spans="1:21" s="45" customFormat="1" ht="14.25" hidden="1">
      <c r="A169" s="1071"/>
      <c r="B169" s="1063"/>
      <c r="C169" s="42" t="s">
        <v>23</v>
      </c>
      <c r="D169" s="30">
        <f t="shared" ref="D169:P169" si="76">D167+D168</f>
        <v>5000</v>
      </c>
      <c r="E169" s="31">
        <f t="shared" si="76"/>
        <v>5000</v>
      </c>
      <c r="F169" s="31">
        <f t="shared" si="76"/>
        <v>5000</v>
      </c>
      <c r="G169" s="31">
        <f t="shared" si="76"/>
        <v>0</v>
      </c>
      <c r="H169" s="31">
        <f t="shared" si="76"/>
        <v>5000</v>
      </c>
      <c r="I169" s="31">
        <f t="shared" si="76"/>
        <v>0</v>
      </c>
      <c r="J169" s="31">
        <f t="shared" si="76"/>
        <v>0</v>
      </c>
      <c r="K169" s="31">
        <f t="shared" si="76"/>
        <v>0</v>
      </c>
      <c r="L169" s="31">
        <f t="shared" si="76"/>
        <v>0</v>
      </c>
      <c r="M169" s="31">
        <f t="shared" si="76"/>
        <v>0</v>
      </c>
      <c r="N169" s="31">
        <f t="shared" si="76"/>
        <v>0</v>
      </c>
      <c r="O169" s="31">
        <f t="shared" si="76"/>
        <v>0</v>
      </c>
      <c r="P169" s="31">
        <f t="shared" si="76"/>
        <v>0</v>
      </c>
      <c r="Q169" s="43"/>
      <c r="R169" s="43"/>
      <c r="S169" s="44"/>
      <c r="T169" s="44"/>
      <c r="U169" s="44"/>
    </row>
    <row r="170" spans="1:21" s="57" customFormat="1" ht="13.15" hidden="1" customHeight="1">
      <c r="A170" s="1068" t="s">
        <v>116</v>
      </c>
      <c r="B170" s="1065" t="s">
        <v>117</v>
      </c>
      <c r="C170" s="26" t="s">
        <v>21</v>
      </c>
      <c r="D170" s="17">
        <f>E170+M170</f>
        <v>5000</v>
      </c>
      <c r="E170" s="27">
        <f>F170+I170+J170+K170+L170</f>
        <v>5000</v>
      </c>
      <c r="F170" s="27">
        <f>G170+H170</f>
        <v>5000</v>
      </c>
      <c r="G170" s="27">
        <v>0</v>
      </c>
      <c r="H170" s="27">
        <v>5000</v>
      </c>
      <c r="I170" s="27">
        <v>0</v>
      </c>
      <c r="J170" s="27">
        <v>0</v>
      </c>
      <c r="K170" s="27">
        <v>0</v>
      </c>
      <c r="L170" s="27">
        <v>0</v>
      </c>
      <c r="M170" s="27">
        <f>N170+P170</f>
        <v>0</v>
      </c>
      <c r="N170" s="27">
        <v>0</v>
      </c>
      <c r="O170" s="27">
        <v>0</v>
      </c>
      <c r="P170" s="27">
        <v>0</v>
      </c>
      <c r="Q170" s="55"/>
      <c r="R170" s="55"/>
      <c r="S170" s="56"/>
      <c r="T170" s="56"/>
      <c r="U170" s="56"/>
    </row>
    <row r="171" spans="1:21" s="57" customFormat="1" hidden="1">
      <c r="A171" s="1068"/>
      <c r="B171" s="1065"/>
      <c r="C171" s="26" t="s">
        <v>22</v>
      </c>
      <c r="D171" s="17">
        <f>E171+M171</f>
        <v>0</v>
      </c>
      <c r="E171" s="27">
        <f>F171+I171+J171+K171+L171</f>
        <v>0</v>
      </c>
      <c r="F171" s="27">
        <f>G171+H171</f>
        <v>0</v>
      </c>
      <c r="G171" s="27"/>
      <c r="H171" s="27"/>
      <c r="I171" s="27"/>
      <c r="J171" s="27"/>
      <c r="K171" s="27"/>
      <c r="L171" s="27"/>
      <c r="M171" s="27">
        <f>N171+P171</f>
        <v>0</v>
      </c>
      <c r="N171" s="27"/>
      <c r="O171" s="27"/>
      <c r="P171" s="27"/>
      <c r="Q171" s="55"/>
      <c r="R171" s="55"/>
      <c r="S171" s="56"/>
      <c r="T171" s="56"/>
      <c r="U171" s="56"/>
    </row>
    <row r="172" spans="1:21" s="57" customFormat="1" hidden="1">
      <c r="A172" s="1068"/>
      <c r="B172" s="1065"/>
      <c r="C172" s="26" t="s">
        <v>23</v>
      </c>
      <c r="D172" s="17">
        <f t="shared" ref="D172:P172" si="77">D170+D171</f>
        <v>5000</v>
      </c>
      <c r="E172" s="27">
        <f t="shared" si="77"/>
        <v>5000</v>
      </c>
      <c r="F172" s="27">
        <f t="shared" si="77"/>
        <v>5000</v>
      </c>
      <c r="G172" s="27">
        <f t="shared" si="77"/>
        <v>0</v>
      </c>
      <c r="H172" s="27">
        <f t="shared" si="77"/>
        <v>5000</v>
      </c>
      <c r="I172" s="27">
        <f t="shared" si="77"/>
        <v>0</v>
      </c>
      <c r="J172" s="27">
        <f t="shared" si="77"/>
        <v>0</v>
      </c>
      <c r="K172" s="27">
        <f t="shared" si="77"/>
        <v>0</v>
      </c>
      <c r="L172" s="27">
        <f t="shared" si="77"/>
        <v>0</v>
      </c>
      <c r="M172" s="27">
        <f t="shared" si="77"/>
        <v>0</v>
      </c>
      <c r="N172" s="27">
        <f t="shared" si="77"/>
        <v>0</v>
      </c>
      <c r="O172" s="27">
        <f t="shared" si="77"/>
        <v>0</v>
      </c>
      <c r="P172" s="27">
        <f t="shared" si="77"/>
        <v>0</v>
      </c>
      <c r="Q172" s="55"/>
      <c r="R172" s="55"/>
      <c r="S172" s="56"/>
      <c r="T172" s="56"/>
      <c r="U172" s="56"/>
    </row>
    <row r="173" spans="1:21" s="45" customFormat="1" ht="13.9" customHeight="1">
      <c r="A173" s="1071" t="s">
        <v>118</v>
      </c>
      <c r="B173" s="1063" t="s">
        <v>119</v>
      </c>
      <c r="C173" s="42" t="s">
        <v>21</v>
      </c>
      <c r="D173" s="30">
        <f t="shared" ref="D173:P173" si="78">D176</f>
        <v>1685000</v>
      </c>
      <c r="E173" s="31">
        <f t="shared" si="78"/>
        <v>685000</v>
      </c>
      <c r="F173" s="31">
        <f t="shared" si="78"/>
        <v>685000</v>
      </c>
      <c r="G173" s="31">
        <f t="shared" si="78"/>
        <v>0</v>
      </c>
      <c r="H173" s="31">
        <f t="shared" si="78"/>
        <v>685000</v>
      </c>
      <c r="I173" s="31">
        <f t="shared" si="78"/>
        <v>0</v>
      </c>
      <c r="J173" s="31">
        <f t="shared" si="78"/>
        <v>0</v>
      </c>
      <c r="K173" s="31">
        <f t="shared" si="78"/>
        <v>0</v>
      </c>
      <c r="L173" s="31">
        <f t="shared" si="78"/>
        <v>0</v>
      </c>
      <c r="M173" s="31">
        <f t="shared" si="78"/>
        <v>1000000</v>
      </c>
      <c r="N173" s="31">
        <f t="shared" si="78"/>
        <v>1000000</v>
      </c>
      <c r="O173" s="31">
        <f t="shared" si="78"/>
        <v>0</v>
      </c>
      <c r="P173" s="31">
        <f t="shared" si="78"/>
        <v>0</v>
      </c>
      <c r="Q173" s="43"/>
      <c r="R173" s="43"/>
      <c r="S173" s="44"/>
      <c r="T173" s="44"/>
      <c r="U173" s="44"/>
    </row>
    <row r="174" spans="1:21" s="45" customFormat="1" ht="14.25">
      <c r="A174" s="1071"/>
      <c r="B174" s="1063"/>
      <c r="C174" s="42" t="s">
        <v>22</v>
      </c>
      <c r="D174" s="30">
        <f t="shared" ref="D174:P174" si="79">D177</f>
        <v>75000</v>
      </c>
      <c r="E174" s="31">
        <f t="shared" si="79"/>
        <v>75000</v>
      </c>
      <c r="F174" s="31">
        <f t="shared" si="79"/>
        <v>75000</v>
      </c>
      <c r="G174" s="31">
        <f t="shared" si="79"/>
        <v>0</v>
      </c>
      <c r="H174" s="31">
        <f t="shared" si="79"/>
        <v>75000</v>
      </c>
      <c r="I174" s="31">
        <f t="shared" si="79"/>
        <v>0</v>
      </c>
      <c r="J174" s="31">
        <f t="shared" si="79"/>
        <v>0</v>
      </c>
      <c r="K174" s="31">
        <f t="shared" si="79"/>
        <v>0</v>
      </c>
      <c r="L174" s="31">
        <f t="shared" si="79"/>
        <v>0</v>
      </c>
      <c r="M174" s="31">
        <f t="shared" si="79"/>
        <v>0</v>
      </c>
      <c r="N174" s="31">
        <f t="shared" si="79"/>
        <v>0</v>
      </c>
      <c r="O174" s="31">
        <f t="shared" si="79"/>
        <v>0</v>
      </c>
      <c r="P174" s="31">
        <f t="shared" si="79"/>
        <v>0</v>
      </c>
      <c r="Q174" s="43"/>
      <c r="R174" s="43"/>
      <c r="S174" s="44"/>
      <c r="T174" s="44"/>
      <c r="U174" s="44"/>
    </row>
    <row r="175" spans="1:21" s="45" customFormat="1" ht="14.25">
      <c r="A175" s="1071"/>
      <c r="B175" s="1063"/>
      <c r="C175" s="42" t="s">
        <v>23</v>
      </c>
      <c r="D175" s="30">
        <f t="shared" ref="D175:P175" si="80">D173+D174</f>
        <v>1760000</v>
      </c>
      <c r="E175" s="31">
        <f t="shared" si="80"/>
        <v>760000</v>
      </c>
      <c r="F175" s="31">
        <f t="shared" si="80"/>
        <v>760000</v>
      </c>
      <c r="G175" s="31">
        <f t="shared" si="80"/>
        <v>0</v>
      </c>
      <c r="H175" s="31">
        <f t="shared" si="80"/>
        <v>760000</v>
      </c>
      <c r="I175" s="31">
        <f t="shared" si="80"/>
        <v>0</v>
      </c>
      <c r="J175" s="31">
        <f t="shared" si="80"/>
        <v>0</v>
      </c>
      <c r="K175" s="31">
        <f t="shared" si="80"/>
        <v>0</v>
      </c>
      <c r="L175" s="31">
        <f t="shared" si="80"/>
        <v>0</v>
      </c>
      <c r="M175" s="31">
        <f t="shared" si="80"/>
        <v>1000000</v>
      </c>
      <c r="N175" s="31">
        <f t="shared" si="80"/>
        <v>1000000</v>
      </c>
      <c r="O175" s="31">
        <f t="shared" si="80"/>
        <v>0</v>
      </c>
      <c r="P175" s="31">
        <f t="shared" si="80"/>
        <v>0</v>
      </c>
      <c r="Q175" s="43"/>
      <c r="R175" s="43"/>
      <c r="S175" s="44"/>
      <c r="T175" s="44"/>
      <c r="U175" s="44"/>
    </row>
    <row r="176" spans="1:21" s="57" customFormat="1" ht="13.15" customHeight="1">
      <c r="A176" s="1068" t="s">
        <v>120</v>
      </c>
      <c r="B176" s="1065" t="s">
        <v>37</v>
      </c>
      <c r="C176" s="26" t="s">
        <v>21</v>
      </c>
      <c r="D176" s="17">
        <f>E176+M176</f>
        <v>1685000</v>
      </c>
      <c r="E176" s="27">
        <f>F176+I176+J176+K176+L176</f>
        <v>685000</v>
      </c>
      <c r="F176" s="27">
        <f>G176+H176</f>
        <v>685000</v>
      </c>
      <c r="G176" s="27">
        <v>0</v>
      </c>
      <c r="H176" s="27">
        <v>685000</v>
      </c>
      <c r="I176" s="27">
        <v>0</v>
      </c>
      <c r="J176" s="27">
        <v>0</v>
      </c>
      <c r="K176" s="27">
        <v>0</v>
      </c>
      <c r="L176" s="27">
        <v>0</v>
      </c>
      <c r="M176" s="27">
        <f>N176+P176</f>
        <v>1000000</v>
      </c>
      <c r="N176" s="27">
        <v>1000000</v>
      </c>
      <c r="O176" s="27">
        <v>0</v>
      </c>
      <c r="P176" s="27">
        <v>0</v>
      </c>
      <c r="Q176" s="55"/>
      <c r="R176" s="55"/>
      <c r="S176" s="56"/>
      <c r="T176" s="56"/>
      <c r="U176" s="56"/>
    </row>
    <row r="177" spans="1:21" s="57" customFormat="1">
      <c r="A177" s="1068"/>
      <c r="B177" s="1065"/>
      <c r="C177" s="26" t="s">
        <v>22</v>
      </c>
      <c r="D177" s="17">
        <f>E177+M177</f>
        <v>75000</v>
      </c>
      <c r="E177" s="27">
        <f>F177+I177+J177+K177+L177</f>
        <v>75000</v>
      </c>
      <c r="F177" s="27">
        <f>G177+H177</f>
        <v>75000</v>
      </c>
      <c r="G177" s="27"/>
      <c r="H177" s="27">
        <v>75000</v>
      </c>
      <c r="I177" s="27"/>
      <c r="J177" s="27"/>
      <c r="K177" s="27"/>
      <c r="L177" s="27"/>
      <c r="M177" s="27">
        <f>N177+P177</f>
        <v>0</v>
      </c>
      <c r="N177" s="27"/>
      <c r="O177" s="27"/>
      <c r="P177" s="27"/>
      <c r="Q177" s="55"/>
      <c r="R177" s="55"/>
      <c r="S177" s="56"/>
      <c r="T177" s="56"/>
      <c r="U177" s="56"/>
    </row>
    <row r="178" spans="1:21" s="57" customFormat="1">
      <c r="A178" s="1068"/>
      <c r="B178" s="1065"/>
      <c r="C178" s="26" t="s">
        <v>23</v>
      </c>
      <c r="D178" s="17">
        <f t="shared" ref="D178:P178" si="81">D176+D177</f>
        <v>1760000</v>
      </c>
      <c r="E178" s="27">
        <f t="shared" si="81"/>
        <v>760000</v>
      </c>
      <c r="F178" s="27">
        <f t="shared" si="81"/>
        <v>760000</v>
      </c>
      <c r="G178" s="27">
        <f t="shared" si="81"/>
        <v>0</v>
      </c>
      <c r="H178" s="27">
        <f t="shared" si="81"/>
        <v>760000</v>
      </c>
      <c r="I178" s="27">
        <f t="shared" si="81"/>
        <v>0</v>
      </c>
      <c r="J178" s="27">
        <f t="shared" si="81"/>
        <v>0</v>
      </c>
      <c r="K178" s="27">
        <f t="shared" si="81"/>
        <v>0</v>
      </c>
      <c r="L178" s="27">
        <f t="shared" si="81"/>
        <v>0</v>
      </c>
      <c r="M178" s="27">
        <f t="shared" si="81"/>
        <v>1000000</v>
      </c>
      <c r="N178" s="27">
        <f t="shared" si="81"/>
        <v>1000000</v>
      </c>
      <c r="O178" s="27">
        <f t="shared" si="81"/>
        <v>0</v>
      </c>
      <c r="P178" s="27">
        <f t="shared" si="81"/>
        <v>0</v>
      </c>
      <c r="Q178" s="55"/>
      <c r="R178" s="55"/>
      <c r="S178" s="56"/>
      <c r="T178" s="56"/>
      <c r="U178" s="56"/>
    </row>
    <row r="179" spans="1:21" s="45" customFormat="1" ht="13.9" customHeight="1">
      <c r="A179" s="1071" t="s">
        <v>121</v>
      </c>
      <c r="B179" s="1063" t="s">
        <v>122</v>
      </c>
      <c r="C179" s="42" t="s">
        <v>21</v>
      </c>
      <c r="D179" s="30">
        <f t="shared" ref="D179:P179" si="82">D182+D185</f>
        <v>21896234</v>
      </c>
      <c r="E179" s="31">
        <f t="shared" si="82"/>
        <v>21896234</v>
      </c>
      <c r="F179" s="31">
        <f t="shared" si="82"/>
        <v>0</v>
      </c>
      <c r="G179" s="31">
        <f t="shared" si="82"/>
        <v>0</v>
      </c>
      <c r="H179" s="31">
        <f t="shared" si="82"/>
        <v>0</v>
      </c>
      <c r="I179" s="31">
        <f t="shared" si="82"/>
        <v>0</v>
      </c>
      <c r="J179" s="31">
        <f t="shared" si="82"/>
        <v>0</v>
      </c>
      <c r="K179" s="31">
        <f t="shared" si="82"/>
        <v>0</v>
      </c>
      <c r="L179" s="31">
        <f t="shared" si="82"/>
        <v>21896234</v>
      </c>
      <c r="M179" s="31">
        <f t="shared" si="82"/>
        <v>0</v>
      </c>
      <c r="N179" s="31">
        <f t="shared" si="82"/>
        <v>0</v>
      </c>
      <c r="O179" s="31">
        <f t="shared" si="82"/>
        <v>0</v>
      </c>
      <c r="P179" s="31">
        <f t="shared" si="82"/>
        <v>0</v>
      </c>
      <c r="Q179" s="43"/>
      <c r="R179" s="43"/>
      <c r="S179" s="44"/>
      <c r="T179" s="44"/>
      <c r="U179" s="44"/>
    </row>
    <row r="180" spans="1:21" s="45" customFormat="1" ht="14.25">
      <c r="A180" s="1071"/>
      <c r="B180" s="1063"/>
      <c r="C180" s="42" t="s">
        <v>22</v>
      </c>
      <c r="D180" s="30">
        <f t="shared" ref="D180:P180" si="83">D183+D186</f>
        <v>-17360764</v>
      </c>
      <c r="E180" s="31">
        <f t="shared" si="83"/>
        <v>-17360764</v>
      </c>
      <c r="F180" s="31">
        <f t="shared" si="83"/>
        <v>0</v>
      </c>
      <c r="G180" s="31">
        <f t="shared" si="83"/>
        <v>0</v>
      </c>
      <c r="H180" s="31">
        <f t="shared" si="83"/>
        <v>0</v>
      </c>
      <c r="I180" s="31">
        <f t="shared" si="83"/>
        <v>0</v>
      </c>
      <c r="J180" s="31">
        <f t="shared" si="83"/>
        <v>0</v>
      </c>
      <c r="K180" s="31">
        <f t="shared" si="83"/>
        <v>0</v>
      </c>
      <c r="L180" s="31">
        <f t="shared" si="83"/>
        <v>-17360764</v>
      </c>
      <c r="M180" s="31">
        <f t="shared" si="83"/>
        <v>0</v>
      </c>
      <c r="N180" s="31">
        <f t="shared" si="83"/>
        <v>0</v>
      </c>
      <c r="O180" s="31">
        <f t="shared" si="83"/>
        <v>0</v>
      </c>
      <c r="P180" s="31">
        <f t="shared" si="83"/>
        <v>0</v>
      </c>
      <c r="Q180" s="43"/>
      <c r="R180" s="43"/>
      <c r="S180" s="44"/>
      <c r="T180" s="44"/>
      <c r="U180" s="44"/>
    </row>
    <row r="181" spans="1:21" s="45" customFormat="1" ht="14.25">
      <c r="A181" s="1071"/>
      <c r="B181" s="1063"/>
      <c r="C181" s="42" t="s">
        <v>23</v>
      </c>
      <c r="D181" s="30">
        <f t="shared" ref="D181:P181" si="84">D179+D180</f>
        <v>4535470</v>
      </c>
      <c r="E181" s="31">
        <f t="shared" si="84"/>
        <v>4535470</v>
      </c>
      <c r="F181" s="31">
        <f t="shared" si="84"/>
        <v>0</v>
      </c>
      <c r="G181" s="31">
        <f t="shared" si="84"/>
        <v>0</v>
      </c>
      <c r="H181" s="31">
        <f t="shared" si="84"/>
        <v>0</v>
      </c>
      <c r="I181" s="31">
        <f t="shared" si="84"/>
        <v>0</v>
      </c>
      <c r="J181" s="31">
        <f t="shared" si="84"/>
        <v>0</v>
      </c>
      <c r="K181" s="31">
        <f t="shared" si="84"/>
        <v>0</v>
      </c>
      <c r="L181" s="31">
        <f t="shared" si="84"/>
        <v>4535470</v>
      </c>
      <c r="M181" s="31">
        <f t="shared" si="84"/>
        <v>0</v>
      </c>
      <c r="N181" s="31">
        <f t="shared" si="84"/>
        <v>0</v>
      </c>
      <c r="O181" s="31">
        <f t="shared" si="84"/>
        <v>0</v>
      </c>
      <c r="P181" s="31">
        <f t="shared" si="84"/>
        <v>0</v>
      </c>
      <c r="Q181" s="43"/>
      <c r="R181" s="43"/>
      <c r="S181" s="44"/>
      <c r="T181" s="44"/>
      <c r="U181" s="44"/>
    </row>
    <row r="182" spans="1:21" s="19" customFormat="1" ht="18" customHeight="1">
      <c r="A182" s="1068" t="s">
        <v>123</v>
      </c>
      <c r="B182" s="1065" t="s">
        <v>124</v>
      </c>
      <c r="C182" s="26" t="s">
        <v>21</v>
      </c>
      <c r="D182" s="17">
        <f>E182+M182</f>
        <v>8116673</v>
      </c>
      <c r="E182" s="27">
        <f>F182+I182+J182+K182+L182</f>
        <v>8116673</v>
      </c>
      <c r="F182" s="27">
        <f>G182+H182</f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8116673</v>
      </c>
      <c r="M182" s="27">
        <f>N182+P182</f>
        <v>0</v>
      </c>
      <c r="N182" s="27">
        <v>0</v>
      </c>
      <c r="O182" s="27">
        <v>0</v>
      </c>
      <c r="P182" s="27">
        <v>0</v>
      </c>
      <c r="Q182" s="35"/>
      <c r="R182" s="35"/>
      <c r="S182" s="28"/>
      <c r="T182" s="28"/>
      <c r="U182" s="28"/>
    </row>
    <row r="183" spans="1:21" s="19" customFormat="1" ht="18" customHeight="1">
      <c r="A183" s="1068"/>
      <c r="B183" s="1065"/>
      <c r="C183" s="26" t="s">
        <v>22</v>
      </c>
      <c r="D183" s="17">
        <f>E183+M183</f>
        <v>-3701203</v>
      </c>
      <c r="E183" s="27">
        <f>F183+I183+J183+K183+L183</f>
        <v>-3701203</v>
      </c>
      <c r="F183" s="27">
        <f>G183+H183</f>
        <v>0</v>
      </c>
      <c r="G183" s="27"/>
      <c r="H183" s="27"/>
      <c r="I183" s="27"/>
      <c r="J183" s="27"/>
      <c r="K183" s="27"/>
      <c r="L183" s="27">
        <v>-3701203</v>
      </c>
      <c r="M183" s="27">
        <f>N183+P183</f>
        <v>0</v>
      </c>
      <c r="N183" s="27"/>
      <c r="O183" s="27"/>
      <c r="P183" s="27"/>
      <c r="Q183" s="35"/>
      <c r="R183" s="35"/>
      <c r="S183" s="28"/>
      <c r="T183" s="28"/>
      <c r="U183" s="28"/>
    </row>
    <row r="184" spans="1:21" s="19" customFormat="1" ht="18" customHeight="1">
      <c r="A184" s="1068"/>
      <c r="B184" s="1065"/>
      <c r="C184" s="26" t="s">
        <v>23</v>
      </c>
      <c r="D184" s="17">
        <f t="shared" ref="D184:P184" si="85">D182+D183</f>
        <v>4415470</v>
      </c>
      <c r="E184" s="27">
        <f t="shared" si="85"/>
        <v>4415470</v>
      </c>
      <c r="F184" s="27">
        <f t="shared" si="85"/>
        <v>0</v>
      </c>
      <c r="G184" s="27">
        <f t="shared" si="85"/>
        <v>0</v>
      </c>
      <c r="H184" s="27">
        <f t="shared" si="85"/>
        <v>0</v>
      </c>
      <c r="I184" s="27">
        <f t="shared" si="85"/>
        <v>0</v>
      </c>
      <c r="J184" s="27">
        <f t="shared" si="85"/>
        <v>0</v>
      </c>
      <c r="K184" s="27">
        <f t="shared" si="85"/>
        <v>0</v>
      </c>
      <c r="L184" s="27">
        <f t="shared" si="85"/>
        <v>4415470</v>
      </c>
      <c r="M184" s="27">
        <f t="shared" si="85"/>
        <v>0</v>
      </c>
      <c r="N184" s="27">
        <f t="shared" si="85"/>
        <v>0</v>
      </c>
      <c r="O184" s="27">
        <f t="shared" si="85"/>
        <v>0</v>
      </c>
      <c r="P184" s="27">
        <f t="shared" si="85"/>
        <v>0</v>
      </c>
      <c r="Q184" s="35"/>
      <c r="R184" s="35"/>
      <c r="S184" s="28"/>
      <c r="T184" s="28"/>
      <c r="U184" s="28"/>
    </row>
    <row r="185" spans="1:21" s="19" customFormat="1" ht="15.6" customHeight="1">
      <c r="A185" s="1068" t="s">
        <v>125</v>
      </c>
      <c r="B185" s="1065" t="s">
        <v>126</v>
      </c>
      <c r="C185" s="26" t="s">
        <v>21</v>
      </c>
      <c r="D185" s="17">
        <f>E185+M185</f>
        <v>13779561</v>
      </c>
      <c r="E185" s="27">
        <f>F185+I185+J185+K185+L185</f>
        <v>13779561</v>
      </c>
      <c r="F185" s="27">
        <f>G185+H185</f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13779561</v>
      </c>
      <c r="M185" s="27">
        <f>N185+P185</f>
        <v>0</v>
      </c>
      <c r="N185" s="27">
        <v>0</v>
      </c>
      <c r="O185" s="27">
        <v>0</v>
      </c>
      <c r="P185" s="27">
        <v>0</v>
      </c>
      <c r="Q185" s="35"/>
      <c r="R185" s="35"/>
      <c r="S185" s="28"/>
      <c r="T185" s="28"/>
      <c r="U185" s="28"/>
    </row>
    <row r="186" spans="1:21" s="19" customFormat="1" ht="15.6" customHeight="1">
      <c r="A186" s="1068"/>
      <c r="B186" s="1065"/>
      <c r="C186" s="26" t="s">
        <v>22</v>
      </c>
      <c r="D186" s="17">
        <f>E186+M186</f>
        <v>-13659561</v>
      </c>
      <c r="E186" s="27">
        <f>F186+I186+J186+K186+L186</f>
        <v>-13659561</v>
      </c>
      <c r="F186" s="27">
        <f>G186+H186</f>
        <v>0</v>
      </c>
      <c r="G186" s="27"/>
      <c r="H186" s="27"/>
      <c r="I186" s="27"/>
      <c r="J186" s="27"/>
      <c r="K186" s="27"/>
      <c r="L186" s="27">
        <v>-13659561</v>
      </c>
      <c r="M186" s="27">
        <f>N186+P186</f>
        <v>0</v>
      </c>
      <c r="N186" s="27"/>
      <c r="O186" s="27"/>
      <c r="P186" s="27"/>
      <c r="Q186" s="35"/>
      <c r="R186" s="35"/>
      <c r="S186" s="28"/>
      <c r="T186" s="28"/>
      <c r="U186" s="28"/>
    </row>
    <row r="187" spans="1:21" s="19" customFormat="1" ht="15.6" customHeight="1">
      <c r="A187" s="1068"/>
      <c r="B187" s="1065"/>
      <c r="C187" s="26" t="s">
        <v>23</v>
      </c>
      <c r="D187" s="17">
        <f t="shared" ref="D187:P187" si="86">D185+D186</f>
        <v>120000</v>
      </c>
      <c r="E187" s="27">
        <f t="shared" si="86"/>
        <v>120000</v>
      </c>
      <c r="F187" s="27">
        <f t="shared" si="86"/>
        <v>0</v>
      </c>
      <c r="G187" s="27">
        <f t="shared" si="86"/>
        <v>0</v>
      </c>
      <c r="H187" s="27">
        <f t="shared" si="86"/>
        <v>0</v>
      </c>
      <c r="I187" s="27">
        <f t="shared" si="86"/>
        <v>0</v>
      </c>
      <c r="J187" s="27">
        <f t="shared" si="86"/>
        <v>0</v>
      </c>
      <c r="K187" s="27">
        <f t="shared" si="86"/>
        <v>0</v>
      </c>
      <c r="L187" s="27">
        <f t="shared" si="86"/>
        <v>120000</v>
      </c>
      <c r="M187" s="27">
        <f t="shared" si="86"/>
        <v>0</v>
      </c>
      <c r="N187" s="27">
        <f t="shared" si="86"/>
        <v>0</v>
      </c>
      <c r="O187" s="27">
        <f t="shared" si="86"/>
        <v>0</v>
      </c>
      <c r="P187" s="27">
        <f t="shared" si="86"/>
        <v>0</v>
      </c>
      <c r="Q187" s="35"/>
      <c r="R187" s="35"/>
      <c r="S187" s="28"/>
      <c r="T187" s="28"/>
      <c r="U187" s="28"/>
    </row>
    <row r="188" spans="1:21" s="45" customFormat="1" ht="13.9" hidden="1" customHeight="1">
      <c r="A188" s="1071" t="s">
        <v>127</v>
      </c>
      <c r="B188" s="1063" t="s">
        <v>128</v>
      </c>
      <c r="C188" s="42" t="s">
        <v>21</v>
      </c>
      <c r="D188" s="30">
        <f t="shared" ref="D188:P188" si="87">D191</f>
        <v>10663454</v>
      </c>
      <c r="E188" s="31">
        <f t="shared" si="87"/>
        <v>9644686</v>
      </c>
      <c r="F188" s="31">
        <f t="shared" si="87"/>
        <v>9644686</v>
      </c>
      <c r="G188" s="31">
        <f t="shared" si="87"/>
        <v>0</v>
      </c>
      <c r="H188" s="31">
        <f t="shared" si="87"/>
        <v>9644686</v>
      </c>
      <c r="I188" s="31">
        <f t="shared" si="87"/>
        <v>0</v>
      </c>
      <c r="J188" s="31">
        <f t="shared" si="87"/>
        <v>0</v>
      </c>
      <c r="K188" s="31">
        <f t="shared" si="87"/>
        <v>0</v>
      </c>
      <c r="L188" s="31">
        <f t="shared" si="87"/>
        <v>0</v>
      </c>
      <c r="M188" s="31">
        <f t="shared" si="87"/>
        <v>1018768</v>
      </c>
      <c r="N188" s="31">
        <f t="shared" si="87"/>
        <v>1018768</v>
      </c>
      <c r="O188" s="31">
        <f t="shared" si="87"/>
        <v>0</v>
      </c>
      <c r="P188" s="31">
        <f t="shared" si="87"/>
        <v>0</v>
      </c>
      <c r="Q188" s="43"/>
      <c r="R188" s="43"/>
      <c r="S188" s="44"/>
      <c r="T188" s="44"/>
      <c r="U188" s="44"/>
    </row>
    <row r="189" spans="1:21" s="45" customFormat="1" ht="14.25" hidden="1">
      <c r="A189" s="1071"/>
      <c r="B189" s="1063"/>
      <c r="C189" s="42" t="s">
        <v>22</v>
      </c>
      <c r="D189" s="30">
        <f t="shared" ref="D189:P189" si="88">D192</f>
        <v>0</v>
      </c>
      <c r="E189" s="31">
        <f t="shared" si="88"/>
        <v>0</v>
      </c>
      <c r="F189" s="31">
        <f t="shared" si="88"/>
        <v>0</v>
      </c>
      <c r="G189" s="31">
        <f t="shared" si="88"/>
        <v>0</v>
      </c>
      <c r="H189" s="31">
        <f t="shared" si="88"/>
        <v>0</v>
      </c>
      <c r="I189" s="31">
        <f t="shared" si="88"/>
        <v>0</v>
      </c>
      <c r="J189" s="31">
        <f t="shared" si="88"/>
        <v>0</v>
      </c>
      <c r="K189" s="31">
        <f t="shared" si="88"/>
        <v>0</v>
      </c>
      <c r="L189" s="31">
        <f t="shared" si="88"/>
        <v>0</v>
      </c>
      <c r="M189" s="31">
        <f t="shared" si="88"/>
        <v>0</v>
      </c>
      <c r="N189" s="31">
        <f t="shared" si="88"/>
        <v>0</v>
      </c>
      <c r="O189" s="31">
        <f t="shared" si="88"/>
        <v>0</v>
      </c>
      <c r="P189" s="31">
        <f t="shared" si="88"/>
        <v>0</v>
      </c>
      <c r="Q189" s="43"/>
      <c r="R189" s="43"/>
      <c r="S189" s="44"/>
      <c r="T189" s="44"/>
      <c r="U189" s="44"/>
    </row>
    <row r="190" spans="1:21" s="45" customFormat="1" ht="14.25" hidden="1">
      <c r="A190" s="1071"/>
      <c r="B190" s="1063"/>
      <c r="C190" s="42" t="s">
        <v>23</v>
      </c>
      <c r="D190" s="30">
        <f t="shared" ref="D190:P190" si="89">D188+D189</f>
        <v>10663454</v>
      </c>
      <c r="E190" s="31">
        <f t="shared" si="89"/>
        <v>9644686</v>
      </c>
      <c r="F190" s="31">
        <f t="shared" si="89"/>
        <v>9644686</v>
      </c>
      <c r="G190" s="31">
        <f t="shared" si="89"/>
        <v>0</v>
      </c>
      <c r="H190" s="31">
        <f t="shared" si="89"/>
        <v>9644686</v>
      </c>
      <c r="I190" s="31">
        <f t="shared" si="89"/>
        <v>0</v>
      </c>
      <c r="J190" s="31">
        <f t="shared" si="89"/>
        <v>0</v>
      </c>
      <c r="K190" s="31">
        <f t="shared" si="89"/>
        <v>0</v>
      </c>
      <c r="L190" s="31">
        <f t="shared" si="89"/>
        <v>0</v>
      </c>
      <c r="M190" s="31">
        <f t="shared" si="89"/>
        <v>1018768</v>
      </c>
      <c r="N190" s="31">
        <f t="shared" si="89"/>
        <v>1018768</v>
      </c>
      <c r="O190" s="31">
        <f t="shared" si="89"/>
        <v>0</v>
      </c>
      <c r="P190" s="31">
        <f t="shared" si="89"/>
        <v>0</v>
      </c>
      <c r="Q190" s="43"/>
      <c r="R190" s="43"/>
      <c r="S190" s="44"/>
      <c r="T190" s="44"/>
      <c r="U190" s="44"/>
    </row>
    <row r="191" spans="1:21" s="57" customFormat="1" ht="13.15" hidden="1" customHeight="1">
      <c r="A191" s="1068" t="s">
        <v>129</v>
      </c>
      <c r="B191" s="1065" t="s">
        <v>130</v>
      </c>
      <c r="C191" s="26" t="s">
        <v>21</v>
      </c>
      <c r="D191" s="17">
        <f>E191+M191</f>
        <v>10663454</v>
      </c>
      <c r="E191" s="27">
        <f>F191+I191+J191+K191+L191</f>
        <v>9644686</v>
      </c>
      <c r="F191" s="27">
        <f>G191+H191</f>
        <v>9644686</v>
      </c>
      <c r="G191" s="27">
        <v>0</v>
      </c>
      <c r="H191" s="27">
        <v>9644686</v>
      </c>
      <c r="I191" s="27">
        <v>0</v>
      </c>
      <c r="J191" s="27">
        <v>0</v>
      </c>
      <c r="K191" s="27">
        <v>0</v>
      </c>
      <c r="L191" s="27">
        <v>0</v>
      </c>
      <c r="M191" s="27">
        <f>N191+P191</f>
        <v>1018768</v>
      </c>
      <c r="N191" s="27">
        <v>1018768</v>
      </c>
      <c r="O191" s="27">
        <v>0</v>
      </c>
      <c r="P191" s="27">
        <v>0</v>
      </c>
      <c r="Q191" s="55"/>
      <c r="R191" s="55"/>
      <c r="S191" s="56"/>
      <c r="T191" s="56"/>
      <c r="U191" s="56"/>
    </row>
    <row r="192" spans="1:21" s="57" customFormat="1" hidden="1">
      <c r="A192" s="1068"/>
      <c r="B192" s="1065"/>
      <c r="C192" s="26" t="s">
        <v>22</v>
      </c>
      <c r="D192" s="17">
        <f>E192+M192</f>
        <v>0</v>
      </c>
      <c r="E192" s="27">
        <f>F192+I192+J192+K192+L192</f>
        <v>0</v>
      </c>
      <c r="F192" s="27">
        <f>G192+H192</f>
        <v>0</v>
      </c>
      <c r="G192" s="27"/>
      <c r="H192" s="27"/>
      <c r="I192" s="27"/>
      <c r="J192" s="27"/>
      <c r="K192" s="27"/>
      <c r="L192" s="27"/>
      <c r="M192" s="27">
        <f>N192+P192</f>
        <v>0</v>
      </c>
      <c r="N192" s="27"/>
      <c r="O192" s="27"/>
      <c r="P192" s="27"/>
      <c r="Q192" s="55"/>
      <c r="R192" s="55"/>
      <c r="S192" s="56"/>
      <c r="T192" s="56"/>
      <c r="U192" s="56"/>
    </row>
    <row r="193" spans="1:21" s="57" customFormat="1" hidden="1">
      <c r="A193" s="1068"/>
      <c r="B193" s="1065"/>
      <c r="C193" s="26" t="s">
        <v>23</v>
      </c>
      <c r="D193" s="17">
        <f t="shared" ref="D193:P193" si="90">D191+D192</f>
        <v>10663454</v>
      </c>
      <c r="E193" s="27">
        <f t="shared" si="90"/>
        <v>9644686</v>
      </c>
      <c r="F193" s="27">
        <f t="shared" si="90"/>
        <v>9644686</v>
      </c>
      <c r="G193" s="27">
        <f t="shared" si="90"/>
        <v>0</v>
      </c>
      <c r="H193" s="27">
        <f t="shared" si="90"/>
        <v>9644686</v>
      </c>
      <c r="I193" s="27">
        <f t="shared" si="90"/>
        <v>0</v>
      </c>
      <c r="J193" s="27">
        <f t="shared" si="90"/>
        <v>0</v>
      </c>
      <c r="K193" s="27">
        <f t="shared" si="90"/>
        <v>0</v>
      </c>
      <c r="L193" s="27">
        <f t="shared" si="90"/>
        <v>0</v>
      </c>
      <c r="M193" s="27">
        <f t="shared" si="90"/>
        <v>1018768</v>
      </c>
      <c r="N193" s="27">
        <f t="shared" si="90"/>
        <v>1018768</v>
      </c>
      <c r="O193" s="27">
        <f t="shared" si="90"/>
        <v>0</v>
      </c>
      <c r="P193" s="27">
        <f t="shared" si="90"/>
        <v>0</v>
      </c>
      <c r="Q193" s="55"/>
      <c r="R193" s="55"/>
      <c r="S193" s="56"/>
      <c r="T193" s="56"/>
      <c r="U193" s="56"/>
    </row>
    <row r="194" spans="1:21" s="45" customFormat="1" ht="13.9" customHeight="1">
      <c r="A194" s="1071" t="s">
        <v>131</v>
      </c>
      <c r="B194" s="1063" t="s">
        <v>132</v>
      </c>
      <c r="C194" s="42" t="s">
        <v>21</v>
      </c>
      <c r="D194" s="30">
        <f t="shared" ref="D194:P194" si="91">D197+D203+D206+D209+D212+D215+D218+D221+D224+D227+D230+D236+D233+D200</f>
        <v>74974847.010000005</v>
      </c>
      <c r="E194" s="31">
        <f t="shared" si="91"/>
        <v>73376733.010000005</v>
      </c>
      <c r="F194" s="31">
        <f t="shared" si="91"/>
        <v>66001317.009999998</v>
      </c>
      <c r="G194" s="31">
        <f t="shared" si="91"/>
        <v>58655158.030000001</v>
      </c>
      <c r="H194" s="31">
        <f t="shared" si="91"/>
        <v>7346158.9799999995</v>
      </c>
      <c r="I194" s="31">
        <f t="shared" si="91"/>
        <v>0</v>
      </c>
      <c r="J194" s="31">
        <f t="shared" si="91"/>
        <v>283735</v>
      </c>
      <c r="K194" s="31">
        <f t="shared" si="91"/>
        <v>7091681</v>
      </c>
      <c r="L194" s="31">
        <f t="shared" si="91"/>
        <v>0</v>
      </c>
      <c r="M194" s="31">
        <f t="shared" si="91"/>
        <v>1598114</v>
      </c>
      <c r="N194" s="31">
        <f t="shared" si="91"/>
        <v>1598114</v>
      </c>
      <c r="O194" s="31">
        <f t="shared" si="91"/>
        <v>1166636</v>
      </c>
      <c r="P194" s="31">
        <f t="shared" si="91"/>
        <v>0</v>
      </c>
      <c r="Q194" s="43"/>
      <c r="R194" s="43"/>
      <c r="S194" s="44"/>
      <c r="T194" s="44"/>
      <c r="U194" s="44"/>
    </row>
    <row r="195" spans="1:21" s="45" customFormat="1" ht="14.25">
      <c r="A195" s="1071"/>
      <c r="B195" s="1063"/>
      <c r="C195" s="42" t="s">
        <v>22</v>
      </c>
      <c r="D195" s="30">
        <f t="shared" ref="D195:P195" si="92">D198+D204+D207+D210+D213+D216+D219+D222+D225+D228+D231+D237+D234+D201</f>
        <v>-5733959</v>
      </c>
      <c r="E195" s="31">
        <f t="shared" si="92"/>
        <v>-5245002</v>
      </c>
      <c r="F195" s="31">
        <f t="shared" si="92"/>
        <v>-4856145</v>
      </c>
      <c r="G195" s="31">
        <f t="shared" si="92"/>
        <v>-4878243</v>
      </c>
      <c r="H195" s="31">
        <f t="shared" si="92"/>
        <v>22098</v>
      </c>
      <c r="I195" s="31">
        <f t="shared" si="92"/>
        <v>0</v>
      </c>
      <c r="J195" s="31">
        <f t="shared" si="92"/>
        <v>241500</v>
      </c>
      <c r="K195" s="31">
        <f t="shared" si="92"/>
        <v>-630357</v>
      </c>
      <c r="L195" s="31">
        <f t="shared" si="92"/>
        <v>0</v>
      </c>
      <c r="M195" s="31">
        <f t="shared" si="92"/>
        <v>-488957</v>
      </c>
      <c r="N195" s="31">
        <f t="shared" si="92"/>
        <v>-488957</v>
      </c>
      <c r="O195" s="31">
        <f t="shared" si="92"/>
        <v>-488957</v>
      </c>
      <c r="P195" s="31">
        <f t="shared" si="92"/>
        <v>0</v>
      </c>
      <c r="Q195" s="43"/>
      <c r="R195" s="43"/>
      <c r="S195" s="44"/>
      <c r="T195" s="44"/>
      <c r="U195" s="44"/>
    </row>
    <row r="196" spans="1:21" s="45" customFormat="1" ht="14.25">
      <c r="A196" s="1071"/>
      <c r="B196" s="1063"/>
      <c r="C196" s="42" t="s">
        <v>23</v>
      </c>
      <c r="D196" s="30">
        <f t="shared" ref="D196:P196" si="93">D194+D195</f>
        <v>69240888.010000005</v>
      </c>
      <c r="E196" s="31">
        <f t="shared" si="93"/>
        <v>68131731.010000005</v>
      </c>
      <c r="F196" s="31">
        <f t="shared" si="93"/>
        <v>61145172.009999998</v>
      </c>
      <c r="G196" s="31">
        <f t="shared" si="93"/>
        <v>53776915.030000001</v>
      </c>
      <c r="H196" s="31">
        <f t="shared" si="93"/>
        <v>7368256.9799999995</v>
      </c>
      <c r="I196" s="31">
        <f t="shared" si="93"/>
        <v>0</v>
      </c>
      <c r="J196" s="31">
        <f t="shared" si="93"/>
        <v>525235</v>
      </c>
      <c r="K196" s="31">
        <f t="shared" si="93"/>
        <v>6461324</v>
      </c>
      <c r="L196" s="31">
        <f t="shared" si="93"/>
        <v>0</v>
      </c>
      <c r="M196" s="31">
        <f t="shared" si="93"/>
        <v>1109157</v>
      </c>
      <c r="N196" s="31">
        <f t="shared" si="93"/>
        <v>1109157</v>
      </c>
      <c r="O196" s="31">
        <f t="shared" si="93"/>
        <v>677679</v>
      </c>
      <c r="P196" s="31">
        <f t="shared" si="93"/>
        <v>0</v>
      </c>
      <c r="Q196" s="43"/>
      <c r="R196" s="43"/>
      <c r="S196" s="44"/>
      <c r="T196" s="44"/>
      <c r="U196" s="44"/>
    </row>
    <row r="197" spans="1:21" s="57" customFormat="1" ht="13.15" customHeight="1">
      <c r="A197" s="1068" t="s">
        <v>133</v>
      </c>
      <c r="B197" s="1065" t="s">
        <v>134</v>
      </c>
      <c r="C197" s="26" t="s">
        <v>21</v>
      </c>
      <c r="D197" s="17">
        <f>E197+M197</f>
        <v>21334056</v>
      </c>
      <c r="E197" s="27">
        <f>F197+I197+J197+K197+L197</f>
        <v>21334056</v>
      </c>
      <c r="F197" s="27">
        <f>G197+H197</f>
        <v>21253370</v>
      </c>
      <c r="G197" s="27">
        <v>19769686</v>
      </c>
      <c r="H197" s="27">
        <v>1483684</v>
      </c>
      <c r="I197" s="27">
        <v>0</v>
      </c>
      <c r="J197" s="27">
        <v>80686</v>
      </c>
      <c r="K197" s="27">
        <v>0</v>
      </c>
      <c r="L197" s="27">
        <v>0</v>
      </c>
      <c r="M197" s="27">
        <f>N197+P197</f>
        <v>0</v>
      </c>
      <c r="N197" s="27">
        <v>0</v>
      </c>
      <c r="O197" s="27">
        <v>0</v>
      </c>
      <c r="P197" s="27">
        <v>0</v>
      </c>
      <c r="Q197" s="55"/>
      <c r="R197" s="55"/>
      <c r="S197" s="56"/>
      <c r="T197" s="56"/>
      <c r="U197" s="56"/>
    </row>
    <row r="198" spans="1:21" s="57" customFormat="1">
      <c r="A198" s="1068"/>
      <c r="B198" s="1065"/>
      <c r="C198" s="26" t="s">
        <v>22</v>
      </c>
      <c r="D198" s="17">
        <f>E198+M198</f>
        <v>-1503971</v>
      </c>
      <c r="E198" s="27">
        <f>F198+I198+J198+K198+L198</f>
        <v>-1503971</v>
      </c>
      <c r="F198" s="27">
        <f>G198+H198</f>
        <v>-1592971</v>
      </c>
      <c r="G198" s="27">
        <f>-1275583-9400-241938-63691-2359</f>
        <v>-1592971</v>
      </c>
      <c r="H198" s="27"/>
      <c r="I198" s="27"/>
      <c r="J198" s="27">
        <v>89000</v>
      </c>
      <c r="K198" s="27"/>
      <c r="L198" s="27"/>
      <c r="M198" s="27">
        <f>N198+P198</f>
        <v>0</v>
      </c>
      <c r="N198" s="27"/>
      <c r="O198" s="27"/>
      <c r="P198" s="27"/>
      <c r="Q198" s="55"/>
      <c r="R198" s="55"/>
      <c r="S198" s="56"/>
      <c r="T198" s="56"/>
      <c r="U198" s="56"/>
    </row>
    <row r="199" spans="1:21" s="57" customFormat="1">
      <c r="A199" s="1068"/>
      <c r="B199" s="1065"/>
      <c r="C199" s="26" t="s">
        <v>23</v>
      </c>
      <c r="D199" s="17">
        <f t="shared" ref="D199:P199" si="94">D197+D198</f>
        <v>19830085</v>
      </c>
      <c r="E199" s="27">
        <f t="shared" si="94"/>
        <v>19830085</v>
      </c>
      <c r="F199" s="27">
        <f t="shared" si="94"/>
        <v>19660399</v>
      </c>
      <c r="G199" s="27">
        <f t="shared" si="94"/>
        <v>18176715</v>
      </c>
      <c r="H199" s="27">
        <f t="shared" si="94"/>
        <v>1483684</v>
      </c>
      <c r="I199" s="27">
        <f t="shared" si="94"/>
        <v>0</v>
      </c>
      <c r="J199" s="27">
        <f t="shared" si="94"/>
        <v>169686</v>
      </c>
      <c r="K199" s="27">
        <f t="shared" si="94"/>
        <v>0</v>
      </c>
      <c r="L199" s="27">
        <f t="shared" si="94"/>
        <v>0</v>
      </c>
      <c r="M199" s="27">
        <f t="shared" si="94"/>
        <v>0</v>
      </c>
      <c r="N199" s="27">
        <f t="shared" si="94"/>
        <v>0</v>
      </c>
      <c r="O199" s="27">
        <f t="shared" si="94"/>
        <v>0</v>
      </c>
      <c r="P199" s="27">
        <f t="shared" si="94"/>
        <v>0</v>
      </c>
      <c r="Q199" s="55"/>
      <c r="R199" s="55"/>
      <c r="S199" s="56"/>
      <c r="T199" s="56"/>
      <c r="U199" s="56"/>
    </row>
    <row r="200" spans="1:21" s="57" customFormat="1" ht="13.15" hidden="1" customHeight="1">
      <c r="A200" s="1070">
        <v>80104</v>
      </c>
      <c r="B200" s="1065" t="s">
        <v>135</v>
      </c>
      <c r="C200" s="26" t="s">
        <v>21</v>
      </c>
      <c r="D200" s="17">
        <f>E200+M200</f>
        <v>177985</v>
      </c>
      <c r="E200" s="27">
        <f>F200+I200+J200+K200+L200</f>
        <v>0</v>
      </c>
      <c r="F200" s="27">
        <f>G200+H200</f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f>N200+P200</f>
        <v>177985</v>
      </c>
      <c r="N200" s="27">
        <v>177985</v>
      </c>
      <c r="O200" s="27">
        <v>177985</v>
      </c>
      <c r="P200" s="27">
        <v>0</v>
      </c>
      <c r="Q200" s="55"/>
      <c r="R200" s="55"/>
      <c r="S200" s="56"/>
      <c r="T200" s="56"/>
      <c r="U200" s="56"/>
    </row>
    <row r="201" spans="1:21" s="57" customFormat="1" hidden="1">
      <c r="A201" s="1070"/>
      <c r="B201" s="1065"/>
      <c r="C201" s="26" t="s">
        <v>22</v>
      </c>
      <c r="D201" s="17">
        <f>E201+M201</f>
        <v>0</v>
      </c>
      <c r="E201" s="27">
        <f>F201+I201+J201+K201+L201</f>
        <v>0</v>
      </c>
      <c r="F201" s="27">
        <f>G201+H201</f>
        <v>0</v>
      </c>
      <c r="G201" s="27"/>
      <c r="H201" s="27"/>
      <c r="I201" s="27"/>
      <c r="J201" s="27"/>
      <c r="K201" s="27"/>
      <c r="L201" s="27"/>
      <c r="M201" s="27">
        <f>N201+P201</f>
        <v>0</v>
      </c>
      <c r="N201" s="27"/>
      <c r="O201" s="27"/>
      <c r="P201" s="27"/>
      <c r="Q201" s="55"/>
      <c r="R201" s="55"/>
      <c r="S201" s="56"/>
      <c r="T201" s="56"/>
      <c r="U201" s="56"/>
    </row>
    <row r="202" spans="1:21" s="57" customFormat="1" hidden="1">
      <c r="A202" s="1070"/>
      <c r="B202" s="1065"/>
      <c r="C202" s="26" t="s">
        <v>23</v>
      </c>
      <c r="D202" s="17">
        <f t="shared" ref="D202:P202" si="95">D200+D201</f>
        <v>177985</v>
      </c>
      <c r="E202" s="27">
        <f t="shared" si="95"/>
        <v>0</v>
      </c>
      <c r="F202" s="27">
        <f t="shared" si="95"/>
        <v>0</v>
      </c>
      <c r="G202" s="27">
        <f t="shared" si="95"/>
        <v>0</v>
      </c>
      <c r="H202" s="27">
        <f t="shared" si="95"/>
        <v>0</v>
      </c>
      <c r="I202" s="27">
        <f t="shared" si="95"/>
        <v>0</v>
      </c>
      <c r="J202" s="27">
        <f t="shared" si="95"/>
        <v>0</v>
      </c>
      <c r="K202" s="27">
        <f t="shared" si="95"/>
        <v>0</v>
      </c>
      <c r="L202" s="27">
        <f t="shared" si="95"/>
        <v>0</v>
      </c>
      <c r="M202" s="27">
        <f t="shared" si="95"/>
        <v>177985</v>
      </c>
      <c r="N202" s="27">
        <f t="shared" si="95"/>
        <v>177985</v>
      </c>
      <c r="O202" s="27">
        <f t="shared" si="95"/>
        <v>177985</v>
      </c>
      <c r="P202" s="27">
        <f t="shared" si="95"/>
        <v>0</v>
      </c>
      <c r="Q202" s="55"/>
      <c r="R202" s="55"/>
      <c r="S202" s="56"/>
      <c r="T202" s="56"/>
      <c r="U202" s="56"/>
    </row>
    <row r="203" spans="1:21" s="57" customFormat="1" ht="13.15" customHeight="1">
      <c r="A203" s="1068" t="s">
        <v>136</v>
      </c>
      <c r="B203" s="1065" t="s">
        <v>137</v>
      </c>
      <c r="C203" s="26" t="s">
        <v>21</v>
      </c>
      <c r="D203" s="17">
        <f>E203+M203</f>
        <v>327803</v>
      </c>
      <c r="E203" s="27">
        <f>F203+I203+J203+K203+L203</f>
        <v>327803</v>
      </c>
      <c r="F203" s="27">
        <f>G203+H203</f>
        <v>326455</v>
      </c>
      <c r="G203" s="27">
        <v>312110</v>
      </c>
      <c r="H203" s="27">
        <v>14345</v>
      </c>
      <c r="I203" s="27">
        <v>0</v>
      </c>
      <c r="J203" s="27">
        <v>1348</v>
      </c>
      <c r="K203" s="27">
        <v>0</v>
      </c>
      <c r="L203" s="27">
        <v>0</v>
      </c>
      <c r="M203" s="27">
        <f>N203+P203</f>
        <v>0</v>
      </c>
      <c r="N203" s="27">
        <v>0</v>
      </c>
      <c r="O203" s="27">
        <v>0</v>
      </c>
      <c r="P203" s="27">
        <v>0</v>
      </c>
      <c r="Q203" s="55"/>
      <c r="R203" s="55"/>
      <c r="S203" s="56"/>
      <c r="T203" s="56"/>
      <c r="U203" s="56"/>
    </row>
    <row r="204" spans="1:21" s="57" customFormat="1">
      <c r="A204" s="1068"/>
      <c r="B204" s="1065"/>
      <c r="C204" s="26" t="s">
        <v>22</v>
      </c>
      <c r="D204" s="17">
        <f>E204+M204</f>
        <v>-18148</v>
      </c>
      <c r="E204" s="27">
        <f>F204+I204+J204+K204+L204</f>
        <v>-18148</v>
      </c>
      <c r="F204" s="27">
        <f>G204+H204</f>
        <v>-18148</v>
      </c>
      <c r="G204" s="27">
        <v>-18148</v>
      </c>
      <c r="H204" s="27"/>
      <c r="I204" s="27"/>
      <c r="J204" s="27"/>
      <c r="K204" s="27"/>
      <c r="L204" s="27"/>
      <c r="M204" s="27">
        <f>N204+P204</f>
        <v>0</v>
      </c>
      <c r="N204" s="27"/>
      <c r="O204" s="27"/>
      <c r="P204" s="27"/>
      <c r="Q204" s="55"/>
      <c r="R204" s="55"/>
      <c r="S204" s="56"/>
      <c r="T204" s="56"/>
      <c r="U204" s="56"/>
    </row>
    <row r="205" spans="1:21" s="57" customFormat="1">
      <c r="A205" s="1068"/>
      <c r="B205" s="1065"/>
      <c r="C205" s="26" t="s">
        <v>23</v>
      </c>
      <c r="D205" s="17">
        <f t="shared" ref="D205:P205" si="96">D203+D204</f>
        <v>309655</v>
      </c>
      <c r="E205" s="27">
        <f t="shared" si="96"/>
        <v>309655</v>
      </c>
      <c r="F205" s="27">
        <f t="shared" si="96"/>
        <v>308307</v>
      </c>
      <c r="G205" s="27">
        <f t="shared" si="96"/>
        <v>293962</v>
      </c>
      <c r="H205" s="27">
        <f t="shared" si="96"/>
        <v>14345</v>
      </c>
      <c r="I205" s="27">
        <f t="shared" si="96"/>
        <v>0</v>
      </c>
      <c r="J205" s="27">
        <f t="shared" si="96"/>
        <v>1348</v>
      </c>
      <c r="K205" s="27">
        <f t="shared" si="96"/>
        <v>0</v>
      </c>
      <c r="L205" s="27">
        <f t="shared" si="96"/>
        <v>0</v>
      </c>
      <c r="M205" s="27">
        <f t="shared" si="96"/>
        <v>0</v>
      </c>
      <c r="N205" s="27">
        <f t="shared" si="96"/>
        <v>0</v>
      </c>
      <c r="O205" s="27">
        <f t="shared" si="96"/>
        <v>0</v>
      </c>
      <c r="P205" s="27">
        <f t="shared" si="96"/>
        <v>0</v>
      </c>
      <c r="Q205" s="55"/>
      <c r="R205" s="55"/>
      <c r="S205" s="56"/>
      <c r="T205" s="56"/>
      <c r="U205" s="56"/>
    </row>
    <row r="206" spans="1:21" s="57" customFormat="1" ht="13.15" hidden="1" customHeight="1">
      <c r="A206" s="1068" t="s">
        <v>138</v>
      </c>
      <c r="B206" s="1065" t="s">
        <v>139</v>
      </c>
      <c r="C206" s="26" t="s">
        <v>21</v>
      </c>
      <c r="D206" s="17">
        <f>E206+M206</f>
        <v>16500</v>
      </c>
      <c r="E206" s="27">
        <f>F206+I206+J206+K206+L206</f>
        <v>16500</v>
      </c>
      <c r="F206" s="27">
        <f>G206+H206</f>
        <v>16500</v>
      </c>
      <c r="G206" s="27">
        <v>0</v>
      </c>
      <c r="H206" s="27">
        <v>16500</v>
      </c>
      <c r="I206" s="27">
        <v>0</v>
      </c>
      <c r="J206" s="27">
        <v>0</v>
      </c>
      <c r="K206" s="27">
        <v>0</v>
      </c>
      <c r="L206" s="27">
        <v>0</v>
      </c>
      <c r="M206" s="27">
        <f>N206+P206</f>
        <v>0</v>
      </c>
      <c r="N206" s="27">
        <v>0</v>
      </c>
      <c r="O206" s="27">
        <v>0</v>
      </c>
      <c r="P206" s="27">
        <v>0</v>
      </c>
      <c r="Q206" s="55"/>
      <c r="R206" s="55"/>
      <c r="S206" s="56"/>
      <c r="T206" s="56"/>
      <c r="U206" s="56"/>
    </row>
    <row r="207" spans="1:21" s="57" customFormat="1" hidden="1">
      <c r="A207" s="1068"/>
      <c r="B207" s="1065"/>
      <c r="C207" s="26" t="s">
        <v>22</v>
      </c>
      <c r="D207" s="17">
        <f>E207+M207</f>
        <v>0</v>
      </c>
      <c r="E207" s="27">
        <f>F207+I207+J207+K207+L207</f>
        <v>0</v>
      </c>
      <c r="F207" s="27">
        <f>G207+H207</f>
        <v>0</v>
      </c>
      <c r="G207" s="27"/>
      <c r="H207" s="27"/>
      <c r="I207" s="27"/>
      <c r="J207" s="27"/>
      <c r="K207" s="27"/>
      <c r="L207" s="27"/>
      <c r="M207" s="27">
        <f>N207+P207</f>
        <v>0</v>
      </c>
      <c r="N207" s="27"/>
      <c r="O207" s="27"/>
      <c r="P207" s="27"/>
      <c r="Q207" s="55"/>
      <c r="R207" s="55"/>
      <c r="S207" s="56"/>
      <c r="T207" s="56"/>
      <c r="U207" s="56"/>
    </row>
    <row r="208" spans="1:21" s="57" customFormat="1" hidden="1">
      <c r="A208" s="1068"/>
      <c r="B208" s="1065"/>
      <c r="C208" s="26" t="s">
        <v>23</v>
      </c>
      <c r="D208" s="17">
        <f t="shared" ref="D208:P208" si="97">D206+D207</f>
        <v>16500</v>
      </c>
      <c r="E208" s="27">
        <f t="shared" si="97"/>
        <v>16500</v>
      </c>
      <c r="F208" s="27">
        <f t="shared" si="97"/>
        <v>16500</v>
      </c>
      <c r="G208" s="27">
        <f t="shared" si="97"/>
        <v>0</v>
      </c>
      <c r="H208" s="27">
        <f t="shared" si="97"/>
        <v>16500</v>
      </c>
      <c r="I208" s="27">
        <f t="shared" si="97"/>
        <v>0</v>
      </c>
      <c r="J208" s="27">
        <f t="shared" si="97"/>
        <v>0</v>
      </c>
      <c r="K208" s="27">
        <f t="shared" si="97"/>
        <v>0</v>
      </c>
      <c r="L208" s="27">
        <f t="shared" si="97"/>
        <v>0</v>
      </c>
      <c r="M208" s="27">
        <f t="shared" si="97"/>
        <v>0</v>
      </c>
      <c r="N208" s="27">
        <f t="shared" si="97"/>
        <v>0</v>
      </c>
      <c r="O208" s="27">
        <f t="shared" si="97"/>
        <v>0</v>
      </c>
      <c r="P208" s="27">
        <f t="shared" si="97"/>
        <v>0</v>
      </c>
      <c r="Q208" s="55"/>
      <c r="R208" s="55"/>
      <c r="S208" s="56"/>
      <c r="T208" s="56"/>
      <c r="U208" s="56"/>
    </row>
    <row r="209" spans="1:21" s="57" customFormat="1" ht="13.15" customHeight="1">
      <c r="A209" s="1068" t="s">
        <v>140</v>
      </c>
      <c r="B209" s="1065" t="s">
        <v>141</v>
      </c>
      <c r="C209" s="26" t="s">
        <v>21</v>
      </c>
      <c r="D209" s="17">
        <f>E209+M209</f>
        <v>5824372</v>
      </c>
      <c r="E209" s="27">
        <f>F209+I209+J209+K209+L209</f>
        <v>5824372</v>
      </c>
      <c r="F209" s="27">
        <f>G209+H209</f>
        <v>5814572</v>
      </c>
      <c r="G209" s="27">
        <v>4950497</v>
      </c>
      <c r="H209" s="27">
        <v>864075</v>
      </c>
      <c r="I209" s="27">
        <v>0</v>
      </c>
      <c r="J209" s="27">
        <v>9800</v>
      </c>
      <c r="K209" s="27">
        <v>0</v>
      </c>
      <c r="L209" s="27">
        <v>0</v>
      </c>
      <c r="M209" s="27">
        <f>N209+P209</f>
        <v>0</v>
      </c>
      <c r="N209" s="27">
        <v>0</v>
      </c>
      <c r="O209" s="27">
        <v>0</v>
      </c>
      <c r="P209" s="27">
        <v>0</v>
      </c>
      <c r="Q209" s="55"/>
      <c r="R209" s="55"/>
      <c r="S209" s="56"/>
      <c r="T209" s="56"/>
      <c r="U209" s="56"/>
    </row>
    <row r="210" spans="1:21" s="57" customFormat="1">
      <c r="A210" s="1068"/>
      <c r="B210" s="1065"/>
      <c r="C210" s="26" t="s">
        <v>22</v>
      </c>
      <c r="D210" s="17">
        <f>E210+M210</f>
        <v>-381402</v>
      </c>
      <c r="E210" s="27">
        <f>F210+I210+J210+K210+L210</f>
        <v>-381402</v>
      </c>
      <c r="F210" s="27">
        <f>G210+H210</f>
        <v>-410902</v>
      </c>
      <c r="G210" s="27">
        <v>-410902</v>
      </c>
      <c r="H210" s="27"/>
      <c r="I210" s="27"/>
      <c r="J210" s="27">
        <v>29500</v>
      </c>
      <c r="K210" s="27"/>
      <c r="L210" s="27"/>
      <c r="M210" s="27">
        <f>N210+P210</f>
        <v>0</v>
      </c>
      <c r="N210" s="27"/>
      <c r="O210" s="27"/>
      <c r="P210" s="27"/>
      <c r="Q210" s="55"/>
      <c r="R210" s="55"/>
      <c r="S210" s="56"/>
      <c r="T210" s="56"/>
      <c r="U210" s="56"/>
    </row>
    <row r="211" spans="1:21" s="57" customFormat="1">
      <c r="A211" s="1068"/>
      <c r="B211" s="1065"/>
      <c r="C211" s="26" t="s">
        <v>23</v>
      </c>
      <c r="D211" s="17">
        <f t="shared" ref="D211:P211" si="98">D209+D210</f>
        <v>5442970</v>
      </c>
      <c r="E211" s="27">
        <f t="shared" si="98"/>
        <v>5442970</v>
      </c>
      <c r="F211" s="27">
        <f t="shared" si="98"/>
        <v>5403670</v>
      </c>
      <c r="G211" s="27">
        <f t="shared" si="98"/>
        <v>4539595</v>
      </c>
      <c r="H211" s="27">
        <f t="shared" si="98"/>
        <v>864075</v>
      </c>
      <c r="I211" s="27">
        <f t="shared" si="98"/>
        <v>0</v>
      </c>
      <c r="J211" s="27">
        <f t="shared" si="98"/>
        <v>39300</v>
      </c>
      <c r="K211" s="27">
        <f t="shared" si="98"/>
        <v>0</v>
      </c>
      <c r="L211" s="27">
        <f t="shared" si="98"/>
        <v>0</v>
      </c>
      <c r="M211" s="27">
        <f t="shared" si="98"/>
        <v>0</v>
      </c>
      <c r="N211" s="27">
        <f t="shared" si="98"/>
        <v>0</v>
      </c>
      <c r="O211" s="27">
        <f t="shared" si="98"/>
        <v>0</v>
      </c>
      <c r="P211" s="27">
        <f t="shared" si="98"/>
        <v>0</v>
      </c>
      <c r="Q211" s="55"/>
      <c r="R211" s="55"/>
      <c r="S211" s="56"/>
      <c r="T211" s="56"/>
      <c r="U211" s="56"/>
    </row>
    <row r="212" spans="1:21" s="57" customFormat="1" ht="13.15" customHeight="1">
      <c r="A212" s="1068" t="s">
        <v>142</v>
      </c>
      <c r="B212" s="1069" t="s">
        <v>143</v>
      </c>
      <c r="C212" s="26" t="s">
        <v>21</v>
      </c>
      <c r="D212" s="17">
        <f>E212+M212</f>
        <v>3137437</v>
      </c>
      <c r="E212" s="27">
        <f>F212+I212+J212+K212+L212</f>
        <v>3137437</v>
      </c>
      <c r="F212" s="27">
        <f>G212+H212</f>
        <v>3131137</v>
      </c>
      <c r="G212" s="27">
        <v>2914720</v>
      </c>
      <c r="H212" s="27">
        <v>216417</v>
      </c>
      <c r="I212" s="27">
        <v>0</v>
      </c>
      <c r="J212" s="27">
        <v>6300</v>
      </c>
      <c r="K212" s="27">
        <v>0</v>
      </c>
      <c r="L212" s="27">
        <v>0</v>
      </c>
      <c r="M212" s="27">
        <f>N212+P212</f>
        <v>0</v>
      </c>
      <c r="N212" s="27">
        <v>0</v>
      </c>
      <c r="O212" s="27">
        <v>0</v>
      </c>
      <c r="P212" s="27">
        <v>0</v>
      </c>
      <c r="Q212" s="55"/>
      <c r="R212" s="55"/>
      <c r="S212" s="56"/>
      <c r="T212" s="56"/>
      <c r="U212" s="56"/>
    </row>
    <row r="213" spans="1:21" s="57" customFormat="1">
      <c r="A213" s="1068"/>
      <c r="B213" s="1069"/>
      <c r="C213" s="26" t="s">
        <v>22</v>
      </c>
      <c r="D213" s="17">
        <f>E213+M213</f>
        <v>-354062</v>
      </c>
      <c r="E213" s="27">
        <f>F213+I213+J213+K213+L213</f>
        <v>-354062</v>
      </c>
      <c r="F213" s="27">
        <f>G213+H213</f>
        <v>-363062</v>
      </c>
      <c r="G213" s="27">
        <v>-363062</v>
      </c>
      <c r="H213" s="27"/>
      <c r="I213" s="27"/>
      <c r="J213" s="27">
        <v>9000</v>
      </c>
      <c r="K213" s="27"/>
      <c r="L213" s="27"/>
      <c r="M213" s="27">
        <f>N213+P213</f>
        <v>0</v>
      </c>
      <c r="N213" s="27"/>
      <c r="O213" s="27"/>
      <c r="P213" s="27"/>
      <c r="Q213" s="55"/>
      <c r="R213" s="55"/>
      <c r="S213" s="56"/>
      <c r="T213" s="56"/>
      <c r="U213" s="56"/>
    </row>
    <row r="214" spans="1:21" s="57" customFormat="1">
      <c r="A214" s="1068"/>
      <c r="B214" s="1069"/>
      <c r="C214" s="26" t="s">
        <v>23</v>
      </c>
      <c r="D214" s="17">
        <f t="shared" ref="D214:P214" si="99">D212+D213</f>
        <v>2783375</v>
      </c>
      <c r="E214" s="27">
        <f t="shared" si="99"/>
        <v>2783375</v>
      </c>
      <c r="F214" s="27">
        <f t="shared" si="99"/>
        <v>2768075</v>
      </c>
      <c r="G214" s="27">
        <f t="shared" si="99"/>
        <v>2551658</v>
      </c>
      <c r="H214" s="27">
        <f t="shared" si="99"/>
        <v>216417</v>
      </c>
      <c r="I214" s="27">
        <f t="shared" si="99"/>
        <v>0</v>
      </c>
      <c r="J214" s="27">
        <f t="shared" si="99"/>
        <v>15300</v>
      </c>
      <c r="K214" s="27">
        <f t="shared" si="99"/>
        <v>0</v>
      </c>
      <c r="L214" s="27">
        <f t="shared" si="99"/>
        <v>0</v>
      </c>
      <c r="M214" s="27">
        <f t="shared" si="99"/>
        <v>0</v>
      </c>
      <c r="N214" s="27">
        <f t="shared" si="99"/>
        <v>0</v>
      </c>
      <c r="O214" s="27">
        <f t="shared" si="99"/>
        <v>0</v>
      </c>
      <c r="P214" s="27">
        <f t="shared" si="99"/>
        <v>0</v>
      </c>
      <c r="Q214" s="55"/>
      <c r="R214" s="55"/>
      <c r="S214" s="56"/>
      <c r="T214" s="56"/>
      <c r="U214" s="56"/>
    </row>
    <row r="215" spans="1:21" s="57" customFormat="1" ht="13.15" customHeight="1">
      <c r="A215" s="1068" t="s">
        <v>144</v>
      </c>
      <c r="B215" s="1065" t="s">
        <v>145</v>
      </c>
      <c r="C215" s="26" t="s">
        <v>21</v>
      </c>
      <c r="D215" s="17">
        <f>E215+M215</f>
        <v>14183991</v>
      </c>
      <c r="E215" s="27">
        <f>F215+I215+J215+K215+L215</f>
        <v>14183991</v>
      </c>
      <c r="F215" s="27">
        <f>G215+H215</f>
        <v>14114369</v>
      </c>
      <c r="G215" s="27">
        <v>12840231</v>
      </c>
      <c r="H215" s="27">
        <v>1274138</v>
      </c>
      <c r="I215" s="27">
        <v>0</v>
      </c>
      <c r="J215" s="27">
        <v>69622</v>
      </c>
      <c r="K215" s="27">
        <v>0</v>
      </c>
      <c r="L215" s="27">
        <v>0</v>
      </c>
      <c r="M215" s="27">
        <f>N215+P215</f>
        <v>0</v>
      </c>
      <c r="N215" s="27">
        <v>0</v>
      </c>
      <c r="O215" s="27">
        <v>0</v>
      </c>
      <c r="P215" s="27">
        <v>0</v>
      </c>
      <c r="Q215" s="55"/>
      <c r="R215" s="55"/>
      <c r="S215" s="56"/>
      <c r="T215" s="56"/>
      <c r="U215" s="56"/>
    </row>
    <row r="216" spans="1:21" s="57" customFormat="1">
      <c r="A216" s="1068"/>
      <c r="B216" s="1065"/>
      <c r="C216" s="26" t="s">
        <v>22</v>
      </c>
      <c r="D216" s="17">
        <f>E216+M216</f>
        <v>-935318</v>
      </c>
      <c r="E216" s="27">
        <f>F216+I216+J216+K216+L216</f>
        <v>-935318</v>
      </c>
      <c r="F216" s="27">
        <f>G216+H216</f>
        <v>-989318</v>
      </c>
      <c r="G216" s="27">
        <v>-989318</v>
      </c>
      <c r="H216" s="27"/>
      <c r="I216" s="27"/>
      <c r="J216" s="27">
        <v>54000</v>
      </c>
      <c r="K216" s="27"/>
      <c r="L216" s="27"/>
      <c r="M216" s="27">
        <f>N216+P216</f>
        <v>0</v>
      </c>
      <c r="N216" s="27"/>
      <c r="O216" s="27"/>
      <c r="P216" s="27"/>
      <c r="Q216" s="55"/>
      <c r="R216" s="55"/>
      <c r="S216" s="56"/>
      <c r="T216" s="56"/>
      <c r="U216" s="56"/>
    </row>
    <row r="217" spans="1:21" s="57" customFormat="1">
      <c r="A217" s="1068"/>
      <c r="B217" s="1065"/>
      <c r="C217" s="26" t="s">
        <v>23</v>
      </c>
      <c r="D217" s="17">
        <f t="shared" ref="D217:P217" si="100">D215+D216</f>
        <v>13248673</v>
      </c>
      <c r="E217" s="27">
        <f t="shared" si="100"/>
        <v>13248673</v>
      </c>
      <c r="F217" s="27">
        <f t="shared" si="100"/>
        <v>13125051</v>
      </c>
      <c r="G217" s="27">
        <f t="shared" si="100"/>
        <v>11850913</v>
      </c>
      <c r="H217" s="27">
        <f t="shared" si="100"/>
        <v>1274138</v>
      </c>
      <c r="I217" s="27">
        <f t="shared" si="100"/>
        <v>0</v>
      </c>
      <c r="J217" s="27">
        <f t="shared" si="100"/>
        <v>123622</v>
      </c>
      <c r="K217" s="27">
        <f t="shared" si="100"/>
        <v>0</v>
      </c>
      <c r="L217" s="27">
        <f t="shared" si="100"/>
        <v>0</v>
      </c>
      <c r="M217" s="27">
        <f t="shared" si="100"/>
        <v>0</v>
      </c>
      <c r="N217" s="27">
        <f t="shared" si="100"/>
        <v>0</v>
      </c>
      <c r="O217" s="27">
        <f t="shared" si="100"/>
        <v>0</v>
      </c>
      <c r="P217" s="27">
        <f t="shared" si="100"/>
        <v>0</v>
      </c>
      <c r="Q217" s="55"/>
      <c r="R217" s="55"/>
      <c r="S217" s="56"/>
      <c r="T217" s="56"/>
      <c r="U217" s="56"/>
    </row>
    <row r="218" spans="1:21" s="19" customFormat="1" ht="13.15" customHeight="1">
      <c r="A218" s="1068" t="s">
        <v>146</v>
      </c>
      <c r="B218" s="1065" t="s">
        <v>147</v>
      </c>
      <c r="C218" s="26" t="s">
        <v>21</v>
      </c>
      <c r="D218" s="17">
        <f>E218+M218</f>
        <v>2955533</v>
      </c>
      <c r="E218" s="27">
        <f>F218+I218+J218+K218+L218</f>
        <v>2623855</v>
      </c>
      <c r="F218" s="27">
        <f>G218+H218</f>
        <v>2542570</v>
      </c>
      <c r="G218" s="27">
        <v>2262095</v>
      </c>
      <c r="H218" s="27">
        <v>280475</v>
      </c>
      <c r="I218" s="27">
        <v>0</v>
      </c>
      <c r="J218" s="27">
        <v>2000</v>
      </c>
      <c r="K218" s="27">
        <v>79285</v>
      </c>
      <c r="L218" s="27">
        <v>0</v>
      </c>
      <c r="M218" s="27">
        <f>N218+P218</f>
        <v>331678</v>
      </c>
      <c r="N218" s="27">
        <v>331678</v>
      </c>
      <c r="O218" s="27">
        <v>0</v>
      </c>
      <c r="P218" s="27">
        <v>0</v>
      </c>
      <c r="Q218" s="35"/>
      <c r="R218" s="35"/>
      <c r="S218" s="28"/>
      <c r="T218" s="28"/>
      <c r="U218" s="28"/>
    </row>
    <row r="219" spans="1:21" s="19" customFormat="1">
      <c r="A219" s="1068"/>
      <c r="B219" s="1065"/>
      <c r="C219" s="26" t="s">
        <v>22</v>
      </c>
      <c r="D219" s="17">
        <f>E219+M219</f>
        <v>-261136</v>
      </c>
      <c r="E219" s="27">
        <f>F219+I219+J219+K219+L219</f>
        <v>-261136</v>
      </c>
      <c r="F219" s="27">
        <f>G219+H219</f>
        <v>-270136</v>
      </c>
      <c r="G219" s="27">
        <v>-270136</v>
      </c>
      <c r="H219" s="27"/>
      <c r="I219" s="27"/>
      <c r="J219" s="27">
        <v>9000</v>
      </c>
      <c r="K219" s="27"/>
      <c r="L219" s="27"/>
      <c r="M219" s="27">
        <f>N219+P219</f>
        <v>0</v>
      </c>
      <c r="N219" s="27"/>
      <c r="O219" s="27"/>
      <c r="P219" s="27"/>
      <c r="Q219" s="35"/>
      <c r="R219" s="35"/>
      <c r="S219" s="28"/>
      <c r="T219" s="28"/>
      <c r="U219" s="28"/>
    </row>
    <row r="220" spans="1:21" s="19" customFormat="1">
      <c r="A220" s="1068"/>
      <c r="B220" s="1065"/>
      <c r="C220" s="26" t="s">
        <v>23</v>
      </c>
      <c r="D220" s="17">
        <f t="shared" ref="D220:P220" si="101">D218+D219</f>
        <v>2694397</v>
      </c>
      <c r="E220" s="27">
        <f t="shared" si="101"/>
        <v>2362719</v>
      </c>
      <c r="F220" s="27">
        <f t="shared" si="101"/>
        <v>2272434</v>
      </c>
      <c r="G220" s="27">
        <f t="shared" si="101"/>
        <v>1991959</v>
      </c>
      <c r="H220" s="27">
        <f t="shared" si="101"/>
        <v>280475</v>
      </c>
      <c r="I220" s="27">
        <f t="shared" si="101"/>
        <v>0</v>
      </c>
      <c r="J220" s="27">
        <f t="shared" si="101"/>
        <v>11000</v>
      </c>
      <c r="K220" s="27">
        <f t="shared" si="101"/>
        <v>79285</v>
      </c>
      <c r="L220" s="27">
        <f t="shared" si="101"/>
        <v>0</v>
      </c>
      <c r="M220" s="27">
        <f t="shared" si="101"/>
        <v>331678</v>
      </c>
      <c r="N220" s="27">
        <f t="shared" si="101"/>
        <v>331678</v>
      </c>
      <c r="O220" s="27">
        <f t="shared" si="101"/>
        <v>0</v>
      </c>
      <c r="P220" s="27">
        <f t="shared" si="101"/>
        <v>0</v>
      </c>
      <c r="Q220" s="35"/>
      <c r="R220" s="35"/>
      <c r="S220" s="28"/>
      <c r="T220" s="28"/>
      <c r="U220" s="28"/>
    </row>
    <row r="221" spans="1:21" s="57" customFormat="1" ht="13.15" customHeight="1">
      <c r="A221" s="1068" t="s">
        <v>148</v>
      </c>
      <c r="B221" s="1065" t="s">
        <v>149</v>
      </c>
      <c r="C221" s="26" t="s">
        <v>21</v>
      </c>
      <c r="D221" s="17">
        <f>E221+M221</f>
        <v>8370613</v>
      </c>
      <c r="E221" s="27">
        <f>F221+I221+J221+K221+L221</f>
        <v>8270813</v>
      </c>
      <c r="F221" s="27">
        <f>G221+H221</f>
        <v>8263491</v>
      </c>
      <c r="G221" s="27">
        <v>7308999.0300000003</v>
      </c>
      <c r="H221" s="27">
        <v>954491.97</v>
      </c>
      <c r="I221" s="27">
        <v>0</v>
      </c>
      <c r="J221" s="27">
        <v>7322</v>
      </c>
      <c r="K221" s="27">
        <v>0</v>
      </c>
      <c r="L221" s="27">
        <v>0</v>
      </c>
      <c r="M221" s="27">
        <f>N221+P221</f>
        <v>99800</v>
      </c>
      <c r="N221" s="27">
        <v>99800</v>
      </c>
      <c r="O221" s="27">
        <v>0</v>
      </c>
      <c r="P221" s="27">
        <v>0</v>
      </c>
      <c r="Q221" s="55"/>
      <c r="R221" s="55"/>
      <c r="S221" s="56"/>
      <c r="T221" s="56"/>
      <c r="U221" s="56"/>
    </row>
    <row r="222" spans="1:21" s="57" customFormat="1">
      <c r="A222" s="1068"/>
      <c r="B222" s="1065"/>
      <c r="C222" s="26" t="s">
        <v>22</v>
      </c>
      <c r="D222" s="17">
        <f>E222+M222</f>
        <v>-304207</v>
      </c>
      <c r="E222" s="27">
        <f>F222+I222+J222+K222+L222</f>
        <v>-304207</v>
      </c>
      <c r="F222" s="27">
        <f>G222+H222</f>
        <v>-327207</v>
      </c>
      <c r="G222" s="27">
        <f>-249548-17704-58790-23263</f>
        <v>-349305</v>
      </c>
      <c r="H222" s="27">
        <f>52498-30400</f>
        <v>22098</v>
      </c>
      <c r="I222" s="27"/>
      <c r="J222" s="27">
        <v>23000</v>
      </c>
      <c r="K222" s="27"/>
      <c r="L222" s="27"/>
      <c r="M222" s="27">
        <f>N222+P222</f>
        <v>0</v>
      </c>
      <c r="N222" s="27"/>
      <c r="O222" s="27"/>
      <c r="P222" s="27"/>
      <c r="Q222" s="55"/>
      <c r="R222" s="55"/>
      <c r="S222" s="56"/>
      <c r="T222" s="56"/>
      <c r="U222" s="56"/>
    </row>
    <row r="223" spans="1:21" s="57" customFormat="1">
      <c r="A223" s="1068"/>
      <c r="B223" s="1065"/>
      <c r="C223" s="26" t="s">
        <v>23</v>
      </c>
      <c r="D223" s="17">
        <f t="shared" ref="D223:P223" si="102">D221+D222</f>
        <v>8066406</v>
      </c>
      <c r="E223" s="27">
        <f t="shared" si="102"/>
        <v>7966606</v>
      </c>
      <c r="F223" s="27">
        <f t="shared" si="102"/>
        <v>7936284</v>
      </c>
      <c r="G223" s="27">
        <f t="shared" si="102"/>
        <v>6959694.0300000003</v>
      </c>
      <c r="H223" s="27">
        <f t="shared" si="102"/>
        <v>976589.97</v>
      </c>
      <c r="I223" s="27">
        <f t="shared" si="102"/>
        <v>0</v>
      </c>
      <c r="J223" s="27">
        <f t="shared" si="102"/>
        <v>30322</v>
      </c>
      <c r="K223" s="27">
        <f t="shared" si="102"/>
        <v>0</v>
      </c>
      <c r="L223" s="27">
        <f t="shared" si="102"/>
        <v>0</v>
      </c>
      <c r="M223" s="27">
        <f t="shared" si="102"/>
        <v>99800</v>
      </c>
      <c r="N223" s="27">
        <f t="shared" si="102"/>
        <v>99800</v>
      </c>
      <c r="O223" s="27">
        <f t="shared" si="102"/>
        <v>0</v>
      </c>
      <c r="P223" s="27">
        <f t="shared" si="102"/>
        <v>0</v>
      </c>
      <c r="Q223" s="55"/>
      <c r="R223" s="55"/>
      <c r="S223" s="56"/>
      <c r="T223" s="56"/>
      <c r="U223" s="56"/>
    </row>
    <row r="224" spans="1:21" s="57" customFormat="1" ht="13.15" customHeight="1">
      <c r="A224" s="1068" t="s">
        <v>150</v>
      </c>
      <c r="B224" s="1065" t="s">
        <v>151</v>
      </c>
      <c r="C224" s="26" t="s">
        <v>21</v>
      </c>
      <c r="D224" s="17">
        <f>E224+M224</f>
        <v>7384520</v>
      </c>
      <c r="E224" s="27">
        <f>F224+I224+J224+K224+L224</f>
        <v>7384520</v>
      </c>
      <c r="F224" s="27">
        <f>G224+H224</f>
        <v>7379065</v>
      </c>
      <c r="G224" s="27">
        <v>6502525</v>
      </c>
      <c r="H224" s="27">
        <v>876540</v>
      </c>
      <c r="I224" s="27">
        <v>0</v>
      </c>
      <c r="J224" s="27">
        <v>5455</v>
      </c>
      <c r="K224" s="27">
        <v>0</v>
      </c>
      <c r="L224" s="27">
        <v>0</v>
      </c>
      <c r="M224" s="27">
        <f>N224+P224</f>
        <v>0</v>
      </c>
      <c r="N224" s="27">
        <v>0</v>
      </c>
      <c r="O224" s="27">
        <v>0</v>
      </c>
      <c r="P224" s="27">
        <v>0</v>
      </c>
      <c r="Q224" s="55"/>
      <c r="R224" s="55"/>
      <c r="S224" s="56"/>
      <c r="T224" s="56"/>
      <c r="U224" s="56"/>
    </row>
    <row r="225" spans="1:21" s="57" customFormat="1">
      <c r="A225" s="1068"/>
      <c r="B225" s="1065"/>
      <c r="C225" s="26" t="s">
        <v>22</v>
      </c>
      <c r="D225" s="17">
        <f>E225+M225</f>
        <v>-331636</v>
      </c>
      <c r="E225" s="27">
        <f>F225+I225+J225+K225+L225</f>
        <v>-331636</v>
      </c>
      <c r="F225" s="27">
        <f>G225+H225</f>
        <v>-359636</v>
      </c>
      <c r="G225" s="27">
        <v>-359636</v>
      </c>
      <c r="H225" s="27"/>
      <c r="I225" s="27"/>
      <c r="J225" s="27">
        <v>28000</v>
      </c>
      <c r="K225" s="27"/>
      <c r="L225" s="27"/>
      <c r="M225" s="27">
        <f>N225+P225</f>
        <v>0</v>
      </c>
      <c r="N225" s="27"/>
      <c r="O225" s="27"/>
      <c r="P225" s="27"/>
      <c r="Q225" s="55"/>
      <c r="R225" s="55"/>
      <c r="S225" s="56"/>
      <c r="T225" s="56"/>
      <c r="U225" s="56"/>
    </row>
    <row r="226" spans="1:21" s="57" customFormat="1">
      <c r="A226" s="1068"/>
      <c r="B226" s="1065"/>
      <c r="C226" s="26" t="s">
        <v>23</v>
      </c>
      <c r="D226" s="17">
        <f t="shared" ref="D226:P226" si="103">D224+D225</f>
        <v>7052884</v>
      </c>
      <c r="E226" s="27">
        <f t="shared" si="103"/>
        <v>7052884</v>
      </c>
      <c r="F226" s="27">
        <f t="shared" si="103"/>
        <v>7019429</v>
      </c>
      <c r="G226" s="27">
        <f t="shared" si="103"/>
        <v>6142889</v>
      </c>
      <c r="H226" s="27">
        <f t="shared" si="103"/>
        <v>876540</v>
      </c>
      <c r="I226" s="27">
        <f t="shared" si="103"/>
        <v>0</v>
      </c>
      <c r="J226" s="27">
        <f t="shared" si="103"/>
        <v>33455</v>
      </c>
      <c r="K226" s="27">
        <f t="shared" si="103"/>
        <v>0</v>
      </c>
      <c r="L226" s="27">
        <f t="shared" si="103"/>
        <v>0</v>
      </c>
      <c r="M226" s="27">
        <f t="shared" si="103"/>
        <v>0</v>
      </c>
      <c r="N226" s="27">
        <f t="shared" si="103"/>
        <v>0</v>
      </c>
      <c r="O226" s="27">
        <f t="shared" si="103"/>
        <v>0</v>
      </c>
      <c r="P226" s="27">
        <f t="shared" si="103"/>
        <v>0</v>
      </c>
      <c r="Q226" s="55"/>
      <c r="R226" s="55"/>
      <c r="S226" s="56"/>
      <c r="T226" s="56"/>
      <c r="U226" s="56"/>
    </row>
    <row r="227" spans="1:21" s="19" customFormat="1" ht="22.9" customHeight="1">
      <c r="A227" s="1068" t="s">
        <v>152</v>
      </c>
      <c r="B227" s="1065" t="s">
        <v>153</v>
      </c>
      <c r="C227" s="26" t="s">
        <v>21</v>
      </c>
      <c r="D227" s="17">
        <f>E227+M227</f>
        <v>1573326</v>
      </c>
      <c r="E227" s="27">
        <f>F227+I227+J227+K227+L227</f>
        <v>1573326</v>
      </c>
      <c r="F227" s="27">
        <f>G227+H227</f>
        <v>1572124</v>
      </c>
      <c r="G227" s="27">
        <v>1480010</v>
      </c>
      <c r="H227" s="27">
        <v>92114</v>
      </c>
      <c r="I227" s="27">
        <v>0</v>
      </c>
      <c r="J227" s="27">
        <v>1202</v>
      </c>
      <c r="K227" s="27">
        <v>0</v>
      </c>
      <c r="L227" s="27">
        <v>0</v>
      </c>
      <c r="M227" s="27">
        <f>N227+P227</f>
        <v>0</v>
      </c>
      <c r="N227" s="27">
        <v>0</v>
      </c>
      <c r="O227" s="27">
        <v>0</v>
      </c>
      <c r="P227" s="27">
        <v>0</v>
      </c>
      <c r="Q227" s="35"/>
      <c r="R227" s="35"/>
      <c r="S227" s="28"/>
      <c r="T227" s="28"/>
      <c r="U227" s="28"/>
    </row>
    <row r="228" spans="1:21" s="19" customFormat="1" ht="22.9" customHeight="1">
      <c r="A228" s="1068"/>
      <c r="B228" s="1065"/>
      <c r="C228" s="26" t="s">
        <v>22</v>
      </c>
      <c r="D228" s="17">
        <f>E228+M228</f>
        <v>-496538</v>
      </c>
      <c r="E228" s="27">
        <f>F228+I228+J228+K228+L228</f>
        <v>-496538</v>
      </c>
      <c r="F228" s="27">
        <f>G228+H228</f>
        <v>-496538</v>
      </c>
      <c r="G228" s="27">
        <v>-496538</v>
      </c>
      <c r="H228" s="27"/>
      <c r="I228" s="27"/>
      <c r="J228" s="27"/>
      <c r="K228" s="27"/>
      <c r="L228" s="27"/>
      <c r="M228" s="27">
        <f>N228+P228</f>
        <v>0</v>
      </c>
      <c r="N228" s="27"/>
      <c r="O228" s="27"/>
      <c r="P228" s="27"/>
      <c r="Q228" s="35"/>
      <c r="R228" s="35"/>
      <c r="S228" s="28"/>
      <c r="T228" s="28"/>
      <c r="U228" s="28"/>
    </row>
    <row r="229" spans="1:21" s="19" customFormat="1" ht="22.9" customHeight="1">
      <c r="A229" s="1068"/>
      <c r="B229" s="1065"/>
      <c r="C229" s="26" t="s">
        <v>23</v>
      </c>
      <c r="D229" s="17">
        <f t="shared" ref="D229:P229" si="104">D227+D228</f>
        <v>1076788</v>
      </c>
      <c r="E229" s="27">
        <f t="shared" si="104"/>
        <v>1076788</v>
      </c>
      <c r="F229" s="27">
        <f t="shared" si="104"/>
        <v>1075586</v>
      </c>
      <c r="G229" s="27">
        <f t="shared" si="104"/>
        <v>983472</v>
      </c>
      <c r="H229" s="27">
        <f t="shared" si="104"/>
        <v>92114</v>
      </c>
      <c r="I229" s="27">
        <f t="shared" si="104"/>
        <v>0</v>
      </c>
      <c r="J229" s="27">
        <f t="shared" si="104"/>
        <v>1202</v>
      </c>
      <c r="K229" s="27">
        <f t="shared" si="104"/>
        <v>0</v>
      </c>
      <c r="L229" s="27">
        <f t="shared" si="104"/>
        <v>0</v>
      </c>
      <c r="M229" s="27">
        <f t="shared" si="104"/>
        <v>0</v>
      </c>
      <c r="N229" s="27">
        <f t="shared" si="104"/>
        <v>0</v>
      </c>
      <c r="O229" s="27">
        <f t="shared" si="104"/>
        <v>0</v>
      </c>
      <c r="P229" s="27">
        <f t="shared" si="104"/>
        <v>0</v>
      </c>
      <c r="Q229" s="35"/>
      <c r="R229" s="35"/>
      <c r="S229" s="28"/>
      <c r="T229" s="28"/>
      <c r="U229" s="28"/>
    </row>
    <row r="230" spans="1:21" s="57" customFormat="1" ht="13.15" customHeight="1">
      <c r="A230" s="1068" t="s">
        <v>154</v>
      </c>
      <c r="B230" s="1065" t="s">
        <v>155</v>
      </c>
      <c r="C230" s="26" t="s">
        <v>21</v>
      </c>
      <c r="D230" s="17">
        <f>E230+M230</f>
        <v>90725</v>
      </c>
      <c r="E230" s="27">
        <f>F230+I230+J230+K230+L230</f>
        <v>90725</v>
      </c>
      <c r="F230" s="27">
        <f>G230+H230</f>
        <v>90725</v>
      </c>
      <c r="G230" s="27">
        <v>90725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f>N230+P230</f>
        <v>0</v>
      </c>
      <c r="N230" s="27">
        <v>0</v>
      </c>
      <c r="O230" s="27">
        <v>0</v>
      </c>
      <c r="P230" s="27">
        <v>0</v>
      </c>
      <c r="Q230" s="55"/>
      <c r="R230" s="55"/>
      <c r="S230" s="56"/>
      <c r="T230" s="56"/>
      <c r="U230" s="56"/>
    </row>
    <row r="231" spans="1:21" s="57" customFormat="1">
      <c r="A231" s="1068"/>
      <c r="B231" s="1065"/>
      <c r="C231" s="26" t="s">
        <v>22</v>
      </c>
      <c r="D231" s="17">
        <f>E231+M231</f>
        <v>-28227</v>
      </c>
      <c r="E231" s="27">
        <f>F231+I231+J231+K231+L231</f>
        <v>-28227</v>
      </c>
      <c r="F231" s="27">
        <f>G231+H231</f>
        <v>-28227</v>
      </c>
      <c r="G231" s="27">
        <v>-28227</v>
      </c>
      <c r="H231" s="27"/>
      <c r="I231" s="27"/>
      <c r="J231" s="27"/>
      <c r="K231" s="27"/>
      <c r="L231" s="27"/>
      <c r="M231" s="27">
        <f>N231+P231</f>
        <v>0</v>
      </c>
      <c r="N231" s="27"/>
      <c r="O231" s="27"/>
      <c r="P231" s="27"/>
      <c r="Q231" s="55"/>
      <c r="R231" s="55"/>
      <c r="S231" s="56"/>
      <c r="T231" s="56"/>
      <c r="U231" s="56"/>
    </row>
    <row r="232" spans="1:21" s="57" customFormat="1">
      <c r="A232" s="1068"/>
      <c r="B232" s="1065"/>
      <c r="C232" s="26" t="s">
        <v>23</v>
      </c>
      <c r="D232" s="17">
        <f t="shared" ref="D232:P232" si="105">D230+D231</f>
        <v>62498</v>
      </c>
      <c r="E232" s="27">
        <f t="shared" si="105"/>
        <v>62498</v>
      </c>
      <c r="F232" s="27">
        <f t="shared" si="105"/>
        <v>62498</v>
      </c>
      <c r="G232" s="27">
        <f t="shared" si="105"/>
        <v>62498</v>
      </c>
      <c r="H232" s="27">
        <f t="shared" si="105"/>
        <v>0</v>
      </c>
      <c r="I232" s="27">
        <f t="shared" si="105"/>
        <v>0</v>
      </c>
      <c r="J232" s="27">
        <f t="shared" si="105"/>
        <v>0</v>
      </c>
      <c r="K232" s="27">
        <f t="shared" si="105"/>
        <v>0</v>
      </c>
      <c r="L232" s="27">
        <f t="shared" si="105"/>
        <v>0</v>
      </c>
      <c r="M232" s="27">
        <f t="shared" si="105"/>
        <v>0</v>
      </c>
      <c r="N232" s="27">
        <f t="shared" si="105"/>
        <v>0</v>
      </c>
      <c r="O232" s="27">
        <f t="shared" si="105"/>
        <v>0</v>
      </c>
      <c r="P232" s="27">
        <f t="shared" si="105"/>
        <v>0</v>
      </c>
      <c r="Q232" s="55"/>
      <c r="R232" s="55"/>
      <c r="S232" s="56"/>
      <c r="T232" s="56"/>
      <c r="U232" s="56"/>
    </row>
    <row r="233" spans="1:21" s="57" customFormat="1" ht="13.5" hidden="1" customHeight="1">
      <c r="A233" s="1067">
        <v>80153</v>
      </c>
      <c r="B233" s="1065" t="s">
        <v>156</v>
      </c>
      <c r="C233" s="26" t="s">
        <v>21</v>
      </c>
      <c r="D233" s="17">
        <f>E233+M233</f>
        <v>139056.01</v>
      </c>
      <c r="E233" s="27">
        <f>F233+I233+J233+K233+L233</f>
        <v>139056.01</v>
      </c>
      <c r="F233" s="27">
        <f>G233+H233</f>
        <v>139056.01</v>
      </c>
      <c r="G233" s="27">
        <v>0</v>
      </c>
      <c r="H233" s="27">
        <v>139056.01</v>
      </c>
      <c r="I233" s="27">
        <v>0</v>
      </c>
      <c r="J233" s="27">
        <v>0</v>
      </c>
      <c r="K233" s="27">
        <v>0</v>
      </c>
      <c r="L233" s="27">
        <v>0</v>
      </c>
      <c r="M233" s="27">
        <f>N233+P233</f>
        <v>0</v>
      </c>
      <c r="N233" s="27">
        <v>0</v>
      </c>
      <c r="O233" s="27">
        <v>0</v>
      </c>
      <c r="P233" s="27">
        <v>0</v>
      </c>
      <c r="Q233" s="55"/>
      <c r="R233" s="55"/>
      <c r="S233" s="56"/>
      <c r="T233" s="56"/>
      <c r="U233" s="56"/>
    </row>
    <row r="234" spans="1:21" s="57" customFormat="1" ht="13.5" hidden="1" customHeight="1">
      <c r="A234" s="1067"/>
      <c r="B234" s="1065"/>
      <c r="C234" s="26" t="s">
        <v>22</v>
      </c>
      <c r="D234" s="17">
        <f>E234+M234</f>
        <v>0</v>
      </c>
      <c r="E234" s="27">
        <f>F234+I234+J234+K234+L234</f>
        <v>0</v>
      </c>
      <c r="F234" s="27">
        <f>G234+H234</f>
        <v>0</v>
      </c>
      <c r="G234" s="27"/>
      <c r="H234" s="27"/>
      <c r="I234" s="27"/>
      <c r="J234" s="27"/>
      <c r="K234" s="27"/>
      <c r="L234" s="27"/>
      <c r="M234" s="27">
        <f>N234+P234</f>
        <v>0</v>
      </c>
      <c r="N234" s="27"/>
      <c r="O234" s="27"/>
      <c r="P234" s="27"/>
      <c r="Q234" s="55"/>
      <c r="R234" s="55"/>
      <c r="S234" s="56"/>
      <c r="T234" s="56"/>
      <c r="U234" s="56"/>
    </row>
    <row r="235" spans="1:21" s="57" customFormat="1" ht="13.5" hidden="1" customHeight="1">
      <c r="A235" s="1067"/>
      <c r="B235" s="1065"/>
      <c r="C235" s="26" t="s">
        <v>23</v>
      </c>
      <c r="D235" s="17">
        <f t="shared" ref="D235:P235" si="106">D233+D234</f>
        <v>139056.01</v>
      </c>
      <c r="E235" s="27">
        <f t="shared" si="106"/>
        <v>139056.01</v>
      </c>
      <c r="F235" s="27">
        <f t="shared" si="106"/>
        <v>139056.01</v>
      </c>
      <c r="G235" s="27">
        <f t="shared" si="106"/>
        <v>0</v>
      </c>
      <c r="H235" s="27">
        <f t="shared" si="106"/>
        <v>139056.01</v>
      </c>
      <c r="I235" s="27">
        <f t="shared" si="106"/>
        <v>0</v>
      </c>
      <c r="J235" s="27">
        <f t="shared" si="106"/>
        <v>0</v>
      </c>
      <c r="K235" s="27">
        <f t="shared" si="106"/>
        <v>0</v>
      </c>
      <c r="L235" s="27">
        <f t="shared" si="106"/>
        <v>0</v>
      </c>
      <c r="M235" s="27">
        <f t="shared" si="106"/>
        <v>0</v>
      </c>
      <c r="N235" s="27">
        <f t="shared" si="106"/>
        <v>0</v>
      </c>
      <c r="O235" s="27">
        <f t="shared" si="106"/>
        <v>0</v>
      </c>
      <c r="P235" s="27">
        <f t="shared" si="106"/>
        <v>0</v>
      </c>
      <c r="Q235" s="55"/>
      <c r="R235" s="55"/>
      <c r="S235" s="56"/>
      <c r="T235" s="56"/>
      <c r="U235" s="56"/>
    </row>
    <row r="236" spans="1:21" s="57" customFormat="1" ht="13.15" customHeight="1">
      <c r="A236" s="1068" t="s">
        <v>157</v>
      </c>
      <c r="B236" s="1065" t="s">
        <v>37</v>
      </c>
      <c r="C236" s="26" t="s">
        <v>21</v>
      </c>
      <c r="D236" s="17">
        <f>E236+M236</f>
        <v>9458930</v>
      </c>
      <c r="E236" s="27">
        <f>F236+I236+J236+K236+L236</f>
        <v>8470279</v>
      </c>
      <c r="F236" s="27">
        <f>G236+H236</f>
        <v>1357883</v>
      </c>
      <c r="G236" s="27">
        <v>223560</v>
      </c>
      <c r="H236" s="27">
        <v>1134323</v>
      </c>
      <c r="I236" s="27">
        <v>0</v>
      </c>
      <c r="J236" s="27">
        <v>100000</v>
      </c>
      <c r="K236" s="27">
        <v>7012396</v>
      </c>
      <c r="L236" s="27">
        <v>0</v>
      </c>
      <c r="M236" s="27">
        <f>N236+P236</f>
        <v>988651</v>
      </c>
      <c r="N236" s="27">
        <v>988651</v>
      </c>
      <c r="O236" s="27">
        <v>988651</v>
      </c>
      <c r="P236" s="27">
        <v>0</v>
      </c>
      <c r="Q236" s="55"/>
      <c r="R236" s="55"/>
      <c r="S236" s="56"/>
      <c r="T236" s="56"/>
      <c r="U236" s="56"/>
    </row>
    <row r="237" spans="1:21" s="57" customFormat="1">
      <c r="A237" s="1068"/>
      <c r="B237" s="1065"/>
      <c r="C237" s="26" t="s">
        <v>22</v>
      </c>
      <c r="D237" s="17">
        <f>E237+M237</f>
        <v>-1119314</v>
      </c>
      <c r="E237" s="27">
        <f>F237+I237+J237+K237+L237</f>
        <v>-630357</v>
      </c>
      <c r="F237" s="27">
        <f>G237+H237</f>
        <v>0</v>
      </c>
      <c r="G237" s="27"/>
      <c r="H237" s="27"/>
      <c r="I237" s="27"/>
      <c r="J237" s="27"/>
      <c r="K237" s="27">
        <f>-113144-36537+1285-17909-3159-9936-1753-1731-306-147498-26027-232596-41046</f>
        <v>-630357</v>
      </c>
      <c r="L237" s="27"/>
      <c r="M237" s="27">
        <f>N237+P237</f>
        <v>-488957</v>
      </c>
      <c r="N237" s="27">
        <v>-488957</v>
      </c>
      <c r="O237" s="27">
        <v>-488957</v>
      </c>
      <c r="P237" s="27"/>
      <c r="Q237" s="55"/>
      <c r="R237" s="55"/>
      <c r="S237" s="56"/>
      <c r="T237" s="56"/>
      <c r="U237" s="56"/>
    </row>
    <row r="238" spans="1:21" s="57" customFormat="1">
      <c r="A238" s="1068"/>
      <c r="B238" s="1065"/>
      <c r="C238" s="26" t="s">
        <v>23</v>
      </c>
      <c r="D238" s="17">
        <f t="shared" ref="D238:P238" si="107">D236+D237</f>
        <v>8339616</v>
      </c>
      <c r="E238" s="27">
        <f t="shared" si="107"/>
        <v>7839922</v>
      </c>
      <c r="F238" s="27">
        <f t="shared" si="107"/>
        <v>1357883</v>
      </c>
      <c r="G238" s="27">
        <f t="shared" si="107"/>
        <v>223560</v>
      </c>
      <c r="H238" s="27">
        <f t="shared" si="107"/>
        <v>1134323</v>
      </c>
      <c r="I238" s="27">
        <f t="shared" si="107"/>
        <v>0</v>
      </c>
      <c r="J238" s="27">
        <f t="shared" si="107"/>
        <v>100000</v>
      </c>
      <c r="K238" s="27">
        <f t="shared" si="107"/>
        <v>6382039</v>
      </c>
      <c r="L238" s="27">
        <f t="shared" si="107"/>
        <v>0</v>
      </c>
      <c r="M238" s="27">
        <f t="shared" si="107"/>
        <v>499694</v>
      </c>
      <c r="N238" s="27">
        <f t="shared" si="107"/>
        <v>499694</v>
      </c>
      <c r="O238" s="27">
        <f t="shared" si="107"/>
        <v>499694</v>
      </c>
      <c r="P238" s="27">
        <f t="shared" si="107"/>
        <v>0</v>
      </c>
      <c r="Q238" s="55"/>
      <c r="R238" s="55"/>
      <c r="S238" s="56"/>
      <c r="T238" s="56"/>
      <c r="U238" s="56"/>
    </row>
    <row r="239" spans="1:21" s="45" customFormat="1" ht="17.45" customHeight="1">
      <c r="A239" s="1062" t="s">
        <v>158</v>
      </c>
      <c r="B239" s="1063" t="s">
        <v>159</v>
      </c>
      <c r="C239" s="42" t="s">
        <v>21</v>
      </c>
      <c r="D239" s="30">
        <f>D242+D251+D254+D257+D260+D263+D266+D272+D248+D245+D269</f>
        <v>214838200</v>
      </c>
      <c r="E239" s="31">
        <f t="shared" ref="E239:P239" si="108">E242+E251+E254+E257+E260+E263+E266+E272+E248+E245+E269</f>
        <v>76096453</v>
      </c>
      <c r="F239" s="31">
        <f t="shared" si="108"/>
        <v>4946283</v>
      </c>
      <c r="G239" s="31">
        <f t="shared" si="108"/>
        <v>18000</v>
      </c>
      <c r="H239" s="31">
        <f t="shared" si="108"/>
        <v>4928283</v>
      </c>
      <c r="I239" s="31">
        <f t="shared" si="108"/>
        <v>3030324</v>
      </c>
      <c r="J239" s="31">
        <f t="shared" si="108"/>
        <v>0</v>
      </c>
      <c r="K239" s="31">
        <f t="shared" si="108"/>
        <v>68119846</v>
      </c>
      <c r="L239" s="31">
        <f t="shared" si="108"/>
        <v>0</v>
      </c>
      <c r="M239" s="31">
        <f t="shared" si="108"/>
        <v>138741747</v>
      </c>
      <c r="N239" s="31">
        <f t="shared" si="108"/>
        <v>92654247</v>
      </c>
      <c r="O239" s="31">
        <f t="shared" si="108"/>
        <v>82570109</v>
      </c>
      <c r="P239" s="31">
        <f t="shared" si="108"/>
        <v>46087500</v>
      </c>
      <c r="Q239" s="43"/>
      <c r="R239" s="43"/>
      <c r="S239" s="44"/>
      <c r="T239" s="44"/>
      <c r="U239" s="44"/>
    </row>
    <row r="240" spans="1:21" s="45" customFormat="1" ht="17.45" customHeight="1">
      <c r="A240" s="1062"/>
      <c r="B240" s="1063"/>
      <c r="C240" s="42" t="s">
        <v>22</v>
      </c>
      <c r="D240" s="30">
        <f>D243+D252+D255+D258+D261+D264+D267+D273+D249+D246+D270</f>
        <v>-45295781</v>
      </c>
      <c r="E240" s="31">
        <f t="shared" ref="E240:P240" si="109">E243+E252+E255+E258+E261+E264+E267+E273+E249+E246+E270</f>
        <v>-24568456</v>
      </c>
      <c r="F240" s="31">
        <f t="shared" si="109"/>
        <v>-105822</v>
      </c>
      <c r="G240" s="31">
        <f t="shared" si="109"/>
        <v>17178</v>
      </c>
      <c r="H240" s="31">
        <f t="shared" si="109"/>
        <v>-123000</v>
      </c>
      <c r="I240" s="31">
        <f t="shared" si="109"/>
        <v>-273996</v>
      </c>
      <c r="J240" s="31">
        <f t="shared" si="109"/>
        <v>0</v>
      </c>
      <c r="K240" s="31">
        <f t="shared" si="109"/>
        <v>-24188638</v>
      </c>
      <c r="L240" s="31">
        <f t="shared" si="109"/>
        <v>0</v>
      </c>
      <c r="M240" s="31">
        <f t="shared" si="109"/>
        <v>-20727325</v>
      </c>
      <c r="N240" s="31">
        <f t="shared" si="109"/>
        <v>-61377325</v>
      </c>
      <c r="O240" s="31">
        <f t="shared" si="109"/>
        <v>-62859685</v>
      </c>
      <c r="P240" s="31">
        <f t="shared" si="109"/>
        <v>40650000</v>
      </c>
      <c r="Q240" s="43"/>
      <c r="R240" s="43"/>
      <c r="S240" s="44"/>
      <c r="T240" s="44"/>
      <c r="U240" s="44"/>
    </row>
    <row r="241" spans="1:21" s="45" customFormat="1" ht="17.45" customHeight="1">
      <c r="A241" s="1062"/>
      <c r="B241" s="1063"/>
      <c r="C241" s="42" t="s">
        <v>23</v>
      </c>
      <c r="D241" s="30">
        <f t="shared" ref="D241:P241" si="110">D239+D240</f>
        <v>169542419</v>
      </c>
      <c r="E241" s="31">
        <f t="shared" si="110"/>
        <v>51527997</v>
      </c>
      <c r="F241" s="31">
        <f t="shared" si="110"/>
        <v>4840461</v>
      </c>
      <c r="G241" s="31">
        <f t="shared" si="110"/>
        <v>35178</v>
      </c>
      <c r="H241" s="31">
        <f t="shared" si="110"/>
        <v>4805283</v>
      </c>
      <c r="I241" s="31">
        <f t="shared" si="110"/>
        <v>2756328</v>
      </c>
      <c r="J241" s="31">
        <f t="shared" si="110"/>
        <v>0</v>
      </c>
      <c r="K241" s="31">
        <f t="shared" si="110"/>
        <v>43931208</v>
      </c>
      <c r="L241" s="31">
        <f t="shared" si="110"/>
        <v>0</v>
      </c>
      <c r="M241" s="31">
        <f t="shared" si="110"/>
        <v>118014422</v>
      </c>
      <c r="N241" s="31">
        <f t="shared" si="110"/>
        <v>31276922</v>
      </c>
      <c r="O241" s="31">
        <f t="shared" si="110"/>
        <v>19710424</v>
      </c>
      <c r="P241" s="31">
        <f t="shared" si="110"/>
        <v>86737500</v>
      </c>
      <c r="Q241" s="43"/>
      <c r="R241" s="43"/>
      <c r="S241" s="44"/>
      <c r="T241" s="44"/>
      <c r="U241" s="44"/>
    </row>
    <row r="242" spans="1:21" s="57" customFormat="1" ht="13.15" customHeight="1">
      <c r="A242" s="1064">
        <v>85111</v>
      </c>
      <c r="B242" s="1065" t="s">
        <v>160</v>
      </c>
      <c r="C242" s="26" t="s">
        <v>21</v>
      </c>
      <c r="D242" s="17">
        <f>E242+M242</f>
        <v>19948919</v>
      </c>
      <c r="E242" s="27">
        <f>F242+I242+J242+K242+L242</f>
        <v>1212029</v>
      </c>
      <c r="F242" s="27">
        <f>G242+H242</f>
        <v>0</v>
      </c>
      <c r="G242" s="27">
        <v>0</v>
      </c>
      <c r="H242" s="27">
        <v>0</v>
      </c>
      <c r="I242" s="27">
        <v>1190324</v>
      </c>
      <c r="J242" s="27">
        <v>0</v>
      </c>
      <c r="K242" s="27">
        <v>21705</v>
      </c>
      <c r="L242" s="27">
        <v>0</v>
      </c>
      <c r="M242" s="27">
        <f>N242+P242</f>
        <v>18736890</v>
      </c>
      <c r="N242" s="27">
        <v>18736890</v>
      </c>
      <c r="O242" s="27">
        <v>9611758</v>
      </c>
      <c r="P242" s="27">
        <v>0</v>
      </c>
      <c r="Q242" s="55"/>
      <c r="R242" s="55"/>
      <c r="S242" s="56"/>
      <c r="T242" s="56"/>
      <c r="U242" s="56"/>
    </row>
    <row r="243" spans="1:21" s="57" customFormat="1">
      <c r="A243" s="1064"/>
      <c r="B243" s="1065"/>
      <c r="C243" s="26" t="s">
        <v>22</v>
      </c>
      <c r="D243" s="17">
        <f>E243+M243</f>
        <v>-4712868</v>
      </c>
      <c r="E243" s="27">
        <f>F243+I243+J243+K243+L243</f>
        <v>736683</v>
      </c>
      <c r="F243" s="27">
        <f>G243+H243</f>
        <v>0</v>
      </c>
      <c r="G243" s="27"/>
      <c r="H243" s="27"/>
      <c r="I243" s="27"/>
      <c r="J243" s="27"/>
      <c r="K243" s="27">
        <v>736683</v>
      </c>
      <c r="L243" s="27"/>
      <c r="M243" s="27">
        <f>N243+P243</f>
        <v>-5449551</v>
      </c>
      <c r="N243" s="27">
        <f>-6931911+1482360</f>
        <v>-5449551</v>
      </c>
      <c r="O243" s="27">
        <v>-6931911</v>
      </c>
      <c r="P243" s="27"/>
      <c r="Q243" s="55"/>
      <c r="R243" s="55"/>
      <c r="S243" s="56"/>
      <c r="T243" s="56"/>
      <c r="U243" s="56"/>
    </row>
    <row r="244" spans="1:21" s="57" customFormat="1">
      <c r="A244" s="1064"/>
      <c r="B244" s="1065"/>
      <c r="C244" s="26" t="s">
        <v>23</v>
      </c>
      <c r="D244" s="17">
        <f t="shared" ref="D244:P244" si="111">D242+D243</f>
        <v>15236051</v>
      </c>
      <c r="E244" s="27">
        <f t="shared" si="111"/>
        <v>1948712</v>
      </c>
      <c r="F244" s="27">
        <f t="shared" si="111"/>
        <v>0</v>
      </c>
      <c r="G244" s="27">
        <f t="shared" si="111"/>
        <v>0</v>
      </c>
      <c r="H244" s="27">
        <f t="shared" si="111"/>
        <v>0</v>
      </c>
      <c r="I244" s="27">
        <f t="shared" si="111"/>
        <v>1190324</v>
      </c>
      <c r="J244" s="27">
        <f t="shared" si="111"/>
        <v>0</v>
      </c>
      <c r="K244" s="27">
        <f t="shared" si="111"/>
        <v>758388</v>
      </c>
      <c r="L244" s="27">
        <f t="shared" si="111"/>
        <v>0</v>
      </c>
      <c r="M244" s="27">
        <f t="shared" si="111"/>
        <v>13287339</v>
      </c>
      <c r="N244" s="27">
        <f t="shared" si="111"/>
        <v>13287339</v>
      </c>
      <c r="O244" s="27">
        <f t="shared" si="111"/>
        <v>2679847</v>
      </c>
      <c r="P244" s="27">
        <f t="shared" si="111"/>
        <v>0</v>
      </c>
      <c r="Q244" s="55"/>
      <c r="R244" s="55"/>
      <c r="S244" s="56"/>
      <c r="T244" s="56"/>
      <c r="U244" s="56"/>
    </row>
    <row r="245" spans="1:21" s="57" customFormat="1" ht="13.15" customHeight="1">
      <c r="A245" s="1064">
        <v>85119</v>
      </c>
      <c r="B245" s="1065" t="s">
        <v>161</v>
      </c>
      <c r="C245" s="26" t="s">
        <v>21</v>
      </c>
      <c r="D245" s="17">
        <f>E245+M245</f>
        <v>1395000</v>
      </c>
      <c r="E245" s="27">
        <f>F245+I245+J245+K245+L245</f>
        <v>0</v>
      </c>
      <c r="F245" s="27">
        <f>G245+H245</f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f>N245+P245</f>
        <v>1395000</v>
      </c>
      <c r="N245" s="27">
        <v>0</v>
      </c>
      <c r="O245" s="27">
        <v>0</v>
      </c>
      <c r="P245" s="27">
        <v>1395000</v>
      </c>
      <c r="Q245" s="55"/>
      <c r="R245" s="55"/>
      <c r="S245" s="56"/>
      <c r="T245" s="56"/>
      <c r="U245" s="56"/>
    </row>
    <row r="246" spans="1:21" s="57" customFormat="1">
      <c r="A246" s="1064"/>
      <c r="B246" s="1065"/>
      <c r="C246" s="26" t="s">
        <v>22</v>
      </c>
      <c r="D246" s="17">
        <f>E246+M246</f>
        <v>5000000</v>
      </c>
      <c r="E246" s="27">
        <f>F246+I246+J246+K246+L246</f>
        <v>0</v>
      </c>
      <c r="F246" s="27">
        <f>G246+H246</f>
        <v>0</v>
      </c>
      <c r="G246" s="27"/>
      <c r="H246" s="27"/>
      <c r="I246" s="27"/>
      <c r="J246" s="27"/>
      <c r="K246" s="27"/>
      <c r="L246" s="27"/>
      <c r="M246" s="27">
        <f>N246+P246</f>
        <v>5000000</v>
      </c>
      <c r="N246" s="27"/>
      <c r="O246" s="27"/>
      <c r="P246" s="27">
        <v>5000000</v>
      </c>
      <c r="Q246" s="55"/>
      <c r="R246" s="55"/>
      <c r="S246" s="56"/>
      <c r="T246" s="56"/>
      <c r="U246" s="56"/>
    </row>
    <row r="247" spans="1:21" s="57" customFormat="1">
      <c r="A247" s="1064"/>
      <c r="B247" s="1065"/>
      <c r="C247" s="26" t="s">
        <v>23</v>
      </c>
      <c r="D247" s="17">
        <f t="shared" ref="D247:P247" si="112">D245+D246</f>
        <v>6395000</v>
      </c>
      <c r="E247" s="27">
        <f t="shared" si="112"/>
        <v>0</v>
      </c>
      <c r="F247" s="27">
        <f t="shared" si="112"/>
        <v>0</v>
      </c>
      <c r="G247" s="27">
        <f t="shared" si="112"/>
        <v>0</v>
      </c>
      <c r="H247" s="27">
        <f t="shared" si="112"/>
        <v>0</v>
      </c>
      <c r="I247" s="27">
        <f t="shared" si="112"/>
        <v>0</v>
      </c>
      <c r="J247" s="27">
        <f t="shared" si="112"/>
        <v>0</v>
      </c>
      <c r="K247" s="27">
        <f t="shared" si="112"/>
        <v>0</v>
      </c>
      <c r="L247" s="27">
        <f t="shared" si="112"/>
        <v>0</v>
      </c>
      <c r="M247" s="27">
        <f t="shared" si="112"/>
        <v>6395000</v>
      </c>
      <c r="N247" s="27">
        <f t="shared" si="112"/>
        <v>0</v>
      </c>
      <c r="O247" s="27">
        <f t="shared" si="112"/>
        <v>0</v>
      </c>
      <c r="P247" s="27">
        <f t="shared" si="112"/>
        <v>6395000</v>
      </c>
      <c r="Q247" s="55"/>
      <c r="R247" s="55"/>
      <c r="S247" s="56"/>
      <c r="T247" s="56"/>
      <c r="U247" s="56"/>
    </row>
    <row r="248" spans="1:21" s="57" customFormat="1" ht="13.15" hidden="1" customHeight="1">
      <c r="A248" s="1064">
        <v>85120</v>
      </c>
      <c r="B248" s="1065" t="s">
        <v>162</v>
      </c>
      <c r="C248" s="26" t="s">
        <v>21</v>
      </c>
      <c r="D248" s="17">
        <f>E248+M248</f>
        <v>720000</v>
      </c>
      <c r="E248" s="27">
        <f>F248+I248+J248+K248+L248</f>
        <v>0</v>
      </c>
      <c r="F248" s="27">
        <f>G248+H248</f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f>N248+P248</f>
        <v>720000</v>
      </c>
      <c r="N248" s="27">
        <v>720000</v>
      </c>
      <c r="O248" s="27">
        <v>0</v>
      </c>
      <c r="P248" s="27">
        <v>0</v>
      </c>
      <c r="Q248" s="55"/>
      <c r="R248" s="55"/>
      <c r="S248" s="56"/>
      <c r="T248" s="56"/>
      <c r="U248" s="56"/>
    </row>
    <row r="249" spans="1:21" s="57" customFormat="1" hidden="1">
      <c r="A249" s="1064"/>
      <c r="B249" s="1065"/>
      <c r="C249" s="26" t="s">
        <v>22</v>
      </c>
      <c r="D249" s="17">
        <f>E249+M249</f>
        <v>0</v>
      </c>
      <c r="E249" s="27">
        <f>F249+I249+J249+K249+L249</f>
        <v>0</v>
      </c>
      <c r="F249" s="27">
        <f>G249+H249</f>
        <v>0</v>
      </c>
      <c r="G249" s="27"/>
      <c r="H249" s="27"/>
      <c r="I249" s="27"/>
      <c r="J249" s="27"/>
      <c r="K249" s="27"/>
      <c r="L249" s="27"/>
      <c r="M249" s="27">
        <f>N249+P249</f>
        <v>0</v>
      </c>
      <c r="N249" s="27"/>
      <c r="O249" s="27"/>
      <c r="P249" s="27"/>
      <c r="Q249" s="55"/>
      <c r="R249" s="55"/>
      <c r="S249" s="56"/>
      <c r="T249" s="56"/>
      <c r="U249" s="56"/>
    </row>
    <row r="250" spans="1:21" s="57" customFormat="1" hidden="1">
      <c r="A250" s="1064"/>
      <c r="B250" s="1065"/>
      <c r="C250" s="26" t="s">
        <v>23</v>
      </c>
      <c r="D250" s="17">
        <f t="shared" ref="D250:P250" si="113">D248+D249</f>
        <v>720000</v>
      </c>
      <c r="E250" s="27">
        <f t="shared" si="113"/>
        <v>0</v>
      </c>
      <c r="F250" s="27">
        <f t="shared" si="113"/>
        <v>0</v>
      </c>
      <c r="G250" s="27">
        <f t="shared" si="113"/>
        <v>0</v>
      </c>
      <c r="H250" s="27">
        <f t="shared" si="113"/>
        <v>0</v>
      </c>
      <c r="I250" s="27">
        <f t="shared" si="113"/>
        <v>0</v>
      </c>
      <c r="J250" s="27">
        <f t="shared" si="113"/>
        <v>0</v>
      </c>
      <c r="K250" s="27">
        <f t="shared" si="113"/>
        <v>0</v>
      </c>
      <c r="L250" s="27">
        <f t="shared" si="113"/>
        <v>0</v>
      </c>
      <c r="M250" s="27">
        <f t="shared" si="113"/>
        <v>720000</v>
      </c>
      <c r="N250" s="27">
        <f t="shared" si="113"/>
        <v>720000</v>
      </c>
      <c r="O250" s="27">
        <f t="shared" si="113"/>
        <v>0</v>
      </c>
      <c r="P250" s="27">
        <f t="shared" si="113"/>
        <v>0</v>
      </c>
      <c r="Q250" s="55"/>
      <c r="R250" s="55"/>
      <c r="S250" s="56"/>
      <c r="T250" s="56"/>
      <c r="U250" s="56"/>
    </row>
    <row r="251" spans="1:21" s="57" customFormat="1" ht="13.15" hidden="1" customHeight="1">
      <c r="A251" s="1064">
        <v>85141</v>
      </c>
      <c r="B251" s="1065" t="s">
        <v>163</v>
      </c>
      <c r="C251" s="26" t="s">
        <v>21</v>
      </c>
      <c r="D251" s="17">
        <f>E251+M251</f>
        <v>40434</v>
      </c>
      <c r="E251" s="27">
        <f>F251+I251+J251+K251+L251</f>
        <v>0</v>
      </c>
      <c r="F251" s="27">
        <f>G251+H251</f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f>N251+P251</f>
        <v>40434</v>
      </c>
      <c r="N251" s="27">
        <v>40434</v>
      </c>
      <c r="O251" s="27">
        <v>0</v>
      </c>
      <c r="P251" s="27">
        <v>0</v>
      </c>
      <c r="Q251" s="55"/>
      <c r="R251" s="55"/>
      <c r="S251" s="56"/>
      <c r="T251" s="56"/>
      <c r="U251" s="56"/>
    </row>
    <row r="252" spans="1:21" s="57" customFormat="1" hidden="1">
      <c r="A252" s="1064"/>
      <c r="B252" s="1065"/>
      <c r="C252" s="26" t="s">
        <v>22</v>
      </c>
      <c r="D252" s="17">
        <f>E252+M252</f>
        <v>0</v>
      </c>
      <c r="E252" s="27">
        <f>F252+I252+J252+K252+L252</f>
        <v>0</v>
      </c>
      <c r="F252" s="27">
        <f>G252+H252</f>
        <v>0</v>
      </c>
      <c r="G252" s="27"/>
      <c r="H252" s="27"/>
      <c r="I252" s="27"/>
      <c r="J252" s="27"/>
      <c r="K252" s="27"/>
      <c r="L252" s="27"/>
      <c r="M252" s="27">
        <f>N252+P252</f>
        <v>0</v>
      </c>
      <c r="N252" s="27"/>
      <c r="O252" s="27"/>
      <c r="P252" s="27"/>
      <c r="Q252" s="55"/>
      <c r="R252" s="55"/>
      <c r="S252" s="56"/>
      <c r="T252" s="56"/>
      <c r="U252" s="56"/>
    </row>
    <row r="253" spans="1:21" s="57" customFormat="1" hidden="1">
      <c r="A253" s="1064"/>
      <c r="B253" s="1065"/>
      <c r="C253" s="26" t="s">
        <v>23</v>
      </c>
      <c r="D253" s="17">
        <f t="shared" ref="D253:P253" si="114">D251+D252</f>
        <v>40434</v>
      </c>
      <c r="E253" s="27">
        <f t="shared" si="114"/>
        <v>0</v>
      </c>
      <c r="F253" s="27">
        <f t="shared" si="114"/>
        <v>0</v>
      </c>
      <c r="G253" s="27">
        <f t="shared" si="114"/>
        <v>0</v>
      </c>
      <c r="H253" s="27">
        <f t="shared" si="114"/>
        <v>0</v>
      </c>
      <c r="I253" s="27">
        <f t="shared" si="114"/>
        <v>0</v>
      </c>
      <c r="J253" s="27">
        <f t="shared" si="114"/>
        <v>0</v>
      </c>
      <c r="K253" s="27">
        <f t="shared" si="114"/>
        <v>0</v>
      </c>
      <c r="L253" s="27">
        <f t="shared" si="114"/>
        <v>0</v>
      </c>
      <c r="M253" s="27">
        <f t="shared" si="114"/>
        <v>40434</v>
      </c>
      <c r="N253" s="27">
        <f t="shared" si="114"/>
        <v>40434</v>
      </c>
      <c r="O253" s="27">
        <f t="shared" si="114"/>
        <v>0</v>
      </c>
      <c r="P253" s="27">
        <f t="shared" si="114"/>
        <v>0</v>
      </c>
      <c r="Q253" s="55"/>
      <c r="R253" s="55"/>
      <c r="S253" s="56"/>
      <c r="T253" s="56"/>
      <c r="U253" s="56"/>
    </row>
    <row r="254" spans="1:21" s="57" customFormat="1" ht="13.15" hidden="1" customHeight="1">
      <c r="A254" s="1064">
        <v>85148</v>
      </c>
      <c r="B254" s="1065" t="s">
        <v>164</v>
      </c>
      <c r="C254" s="26" t="s">
        <v>21</v>
      </c>
      <c r="D254" s="17">
        <f>E254+M254</f>
        <v>4898855</v>
      </c>
      <c r="E254" s="27">
        <f>F254+I254+J254+K254+L254</f>
        <v>4700283</v>
      </c>
      <c r="F254" s="27">
        <f>G254+H254</f>
        <v>4675283</v>
      </c>
      <c r="G254" s="27">
        <v>0</v>
      </c>
      <c r="H254" s="27">
        <v>4675283</v>
      </c>
      <c r="I254" s="27">
        <v>25000</v>
      </c>
      <c r="J254" s="27">
        <v>0</v>
      </c>
      <c r="K254" s="27">
        <v>0</v>
      </c>
      <c r="L254" s="27">
        <v>0</v>
      </c>
      <c r="M254" s="27">
        <f>N254+P254</f>
        <v>198572</v>
      </c>
      <c r="N254" s="27">
        <v>198572</v>
      </c>
      <c r="O254" s="27">
        <v>0</v>
      </c>
      <c r="P254" s="27">
        <v>0</v>
      </c>
      <c r="Q254" s="55"/>
      <c r="R254" s="55"/>
      <c r="S254" s="56"/>
      <c r="T254" s="56"/>
      <c r="U254" s="56"/>
    </row>
    <row r="255" spans="1:21" s="57" customFormat="1" hidden="1">
      <c r="A255" s="1064"/>
      <c r="B255" s="1065"/>
      <c r="C255" s="26" t="s">
        <v>22</v>
      </c>
      <c r="D255" s="17">
        <f>E255+M255</f>
        <v>0</v>
      </c>
      <c r="E255" s="27">
        <f>F255+I255+J255+K255+L255</f>
        <v>0</v>
      </c>
      <c r="F255" s="27">
        <f>G255+H255</f>
        <v>0</v>
      </c>
      <c r="G255" s="27"/>
      <c r="H255" s="27"/>
      <c r="I255" s="27"/>
      <c r="J255" s="27"/>
      <c r="K255" s="27"/>
      <c r="L255" s="27"/>
      <c r="M255" s="27">
        <f>N255+P255</f>
        <v>0</v>
      </c>
      <c r="N255" s="27"/>
      <c r="O255" s="27"/>
      <c r="P255" s="27"/>
      <c r="Q255" s="55"/>
      <c r="R255" s="55"/>
      <c r="S255" s="56"/>
      <c r="T255" s="56"/>
      <c r="U255" s="56"/>
    </row>
    <row r="256" spans="1:21" s="57" customFormat="1" hidden="1">
      <c r="A256" s="1064"/>
      <c r="B256" s="1065"/>
      <c r="C256" s="26" t="s">
        <v>23</v>
      </c>
      <c r="D256" s="17">
        <f t="shared" ref="D256:P256" si="115">D254+D255</f>
        <v>4898855</v>
      </c>
      <c r="E256" s="27">
        <f t="shared" si="115"/>
        <v>4700283</v>
      </c>
      <c r="F256" s="27">
        <f t="shared" si="115"/>
        <v>4675283</v>
      </c>
      <c r="G256" s="27">
        <f t="shared" si="115"/>
        <v>0</v>
      </c>
      <c r="H256" s="27">
        <f t="shared" si="115"/>
        <v>4675283</v>
      </c>
      <c r="I256" s="27">
        <f t="shared" si="115"/>
        <v>25000</v>
      </c>
      <c r="J256" s="27">
        <f t="shared" si="115"/>
        <v>0</v>
      </c>
      <c r="K256" s="27">
        <f t="shared" si="115"/>
        <v>0</v>
      </c>
      <c r="L256" s="27">
        <f t="shared" si="115"/>
        <v>0</v>
      </c>
      <c r="M256" s="27">
        <f t="shared" si="115"/>
        <v>198572</v>
      </c>
      <c r="N256" s="27">
        <f t="shared" si="115"/>
        <v>198572</v>
      </c>
      <c r="O256" s="27">
        <f t="shared" si="115"/>
        <v>0</v>
      </c>
      <c r="P256" s="27">
        <f t="shared" si="115"/>
        <v>0</v>
      </c>
      <c r="Q256" s="55"/>
      <c r="R256" s="55"/>
      <c r="S256" s="56"/>
      <c r="T256" s="56"/>
      <c r="U256" s="56"/>
    </row>
    <row r="257" spans="1:21" s="57" customFormat="1" ht="13.15" customHeight="1">
      <c r="A257" s="1064">
        <v>85149</v>
      </c>
      <c r="B257" s="1065" t="s">
        <v>165</v>
      </c>
      <c r="C257" s="26" t="s">
        <v>21</v>
      </c>
      <c r="D257" s="17">
        <f>E257+M257</f>
        <v>1760000</v>
      </c>
      <c r="E257" s="27">
        <f>F257+I257+J257+K257+L257</f>
        <v>1760000</v>
      </c>
      <c r="F257" s="27">
        <f>G257+H257</f>
        <v>75000</v>
      </c>
      <c r="G257" s="27">
        <v>1000</v>
      </c>
      <c r="H257" s="27">
        <f>2000+2000+70000</f>
        <v>74000</v>
      </c>
      <c r="I257" s="27">
        <v>875000</v>
      </c>
      <c r="J257" s="27">
        <v>0</v>
      </c>
      <c r="K257" s="27">
        <v>810000</v>
      </c>
      <c r="L257" s="27">
        <v>0</v>
      </c>
      <c r="M257" s="27">
        <f>N257+P257</f>
        <v>0</v>
      </c>
      <c r="N257" s="27">
        <v>0</v>
      </c>
      <c r="O257" s="27">
        <v>0</v>
      </c>
      <c r="P257" s="27">
        <v>0</v>
      </c>
      <c r="Q257" s="55"/>
      <c r="R257" s="55"/>
      <c r="S257" s="56"/>
      <c r="T257" s="56"/>
      <c r="U257" s="56"/>
    </row>
    <row r="258" spans="1:21" s="57" customFormat="1">
      <c r="A258" s="1064"/>
      <c r="B258" s="1065"/>
      <c r="C258" s="26" t="s">
        <v>22</v>
      </c>
      <c r="D258" s="17">
        <f>E258+M258</f>
        <v>-607653</v>
      </c>
      <c r="E258" s="27">
        <f>F258+I258+J258+K258+L258</f>
        <v>-607653</v>
      </c>
      <c r="F258" s="27">
        <f>G258+H258</f>
        <v>-5000</v>
      </c>
      <c r="G258" s="27">
        <v>-1000</v>
      </c>
      <c r="H258" s="27">
        <f>-2000-2000</f>
        <v>-4000</v>
      </c>
      <c r="I258" s="27">
        <f>-6040-73796</f>
        <v>-79836</v>
      </c>
      <c r="J258" s="27"/>
      <c r="K258" s="27">
        <f>-522817</f>
        <v>-522817</v>
      </c>
      <c r="L258" s="27"/>
      <c r="M258" s="27">
        <f>N258+P258</f>
        <v>0</v>
      </c>
      <c r="N258" s="27"/>
      <c r="O258" s="27"/>
      <c r="P258" s="27"/>
      <c r="Q258" s="55"/>
      <c r="R258" s="55"/>
      <c r="S258" s="56"/>
      <c r="T258" s="56"/>
      <c r="U258" s="56"/>
    </row>
    <row r="259" spans="1:21" s="57" customFormat="1">
      <c r="A259" s="1064"/>
      <c r="B259" s="1065"/>
      <c r="C259" s="26" t="s">
        <v>23</v>
      </c>
      <c r="D259" s="17">
        <f t="shared" ref="D259:P259" si="116">D257+D258</f>
        <v>1152347</v>
      </c>
      <c r="E259" s="27">
        <f t="shared" si="116"/>
        <v>1152347</v>
      </c>
      <c r="F259" s="27">
        <f t="shared" si="116"/>
        <v>70000</v>
      </c>
      <c r="G259" s="27">
        <f t="shared" si="116"/>
        <v>0</v>
      </c>
      <c r="H259" s="27">
        <f t="shared" si="116"/>
        <v>70000</v>
      </c>
      <c r="I259" s="27">
        <f t="shared" si="116"/>
        <v>795164</v>
      </c>
      <c r="J259" s="27">
        <f t="shared" si="116"/>
        <v>0</v>
      </c>
      <c r="K259" s="27">
        <f t="shared" si="116"/>
        <v>287183</v>
      </c>
      <c r="L259" s="27">
        <f t="shared" si="116"/>
        <v>0</v>
      </c>
      <c r="M259" s="27">
        <f t="shared" si="116"/>
        <v>0</v>
      </c>
      <c r="N259" s="27">
        <f t="shared" si="116"/>
        <v>0</v>
      </c>
      <c r="O259" s="27">
        <f t="shared" si="116"/>
        <v>0</v>
      </c>
      <c r="P259" s="27">
        <f t="shared" si="116"/>
        <v>0</v>
      </c>
      <c r="Q259" s="55"/>
      <c r="R259" s="55"/>
      <c r="S259" s="56"/>
      <c r="T259" s="56"/>
      <c r="U259" s="56"/>
    </row>
    <row r="260" spans="1:21" s="57" customFormat="1" ht="13.15" customHeight="1">
      <c r="A260" s="1064">
        <v>85153</v>
      </c>
      <c r="B260" s="1065" t="s">
        <v>166</v>
      </c>
      <c r="C260" s="26" t="s">
        <v>21</v>
      </c>
      <c r="D260" s="17">
        <f>E260+M260</f>
        <v>480000</v>
      </c>
      <c r="E260" s="27">
        <f>F260+I260+J260+K260+L260</f>
        <v>480000</v>
      </c>
      <c r="F260" s="27">
        <f>G260+H260</f>
        <v>130000</v>
      </c>
      <c r="G260" s="27">
        <v>14000</v>
      </c>
      <c r="H260" s="27">
        <f>11000+7000+98000</f>
        <v>116000</v>
      </c>
      <c r="I260" s="27">
        <v>350000</v>
      </c>
      <c r="J260" s="27">
        <v>0</v>
      </c>
      <c r="K260" s="27">
        <v>0</v>
      </c>
      <c r="L260" s="27">
        <v>0</v>
      </c>
      <c r="M260" s="27">
        <f>N260+P260</f>
        <v>0</v>
      </c>
      <c r="N260" s="27">
        <v>0</v>
      </c>
      <c r="O260" s="27">
        <v>0</v>
      </c>
      <c r="P260" s="27">
        <v>0</v>
      </c>
      <c r="Q260" s="55"/>
      <c r="R260" s="55"/>
      <c r="S260" s="56"/>
      <c r="T260" s="56"/>
      <c r="U260" s="56"/>
    </row>
    <row r="261" spans="1:21" s="57" customFormat="1">
      <c r="A261" s="1064"/>
      <c r="B261" s="1065"/>
      <c r="C261" s="26" t="s">
        <v>22</v>
      </c>
      <c r="D261" s="17">
        <f>E261+M261</f>
        <v>-118000</v>
      </c>
      <c r="E261" s="27">
        <f>F261+I261+J261+K261+L261</f>
        <v>-118000</v>
      </c>
      <c r="F261" s="27">
        <f>G261+H261</f>
        <v>-118000</v>
      </c>
      <c r="G261" s="27">
        <v>-14000</v>
      </c>
      <c r="H261" s="27">
        <f>-11000-7000-86000</f>
        <v>-104000</v>
      </c>
      <c r="I261" s="27"/>
      <c r="J261" s="27"/>
      <c r="K261" s="27"/>
      <c r="L261" s="27"/>
      <c r="M261" s="27">
        <f>N261+P261</f>
        <v>0</v>
      </c>
      <c r="N261" s="27"/>
      <c r="O261" s="27"/>
      <c r="P261" s="27"/>
      <c r="Q261" s="55"/>
      <c r="R261" s="55"/>
      <c r="S261" s="56"/>
      <c r="T261" s="56"/>
      <c r="U261" s="56"/>
    </row>
    <row r="262" spans="1:21" s="57" customFormat="1">
      <c r="A262" s="1064"/>
      <c r="B262" s="1065"/>
      <c r="C262" s="26" t="s">
        <v>23</v>
      </c>
      <c r="D262" s="17">
        <f t="shared" ref="D262:P262" si="117">D260+D261</f>
        <v>362000</v>
      </c>
      <c r="E262" s="27">
        <f t="shared" si="117"/>
        <v>362000</v>
      </c>
      <c r="F262" s="27">
        <f t="shared" si="117"/>
        <v>12000</v>
      </c>
      <c r="G262" s="27">
        <f t="shared" si="117"/>
        <v>0</v>
      </c>
      <c r="H262" s="27">
        <f t="shared" si="117"/>
        <v>12000</v>
      </c>
      <c r="I262" s="27">
        <f t="shared" si="117"/>
        <v>350000</v>
      </c>
      <c r="J262" s="27">
        <f t="shared" si="117"/>
        <v>0</v>
      </c>
      <c r="K262" s="27">
        <f t="shared" si="117"/>
        <v>0</v>
      </c>
      <c r="L262" s="27">
        <f t="shared" si="117"/>
        <v>0</v>
      </c>
      <c r="M262" s="27">
        <f t="shared" si="117"/>
        <v>0</v>
      </c>
      <c r="N262" s="27">
        <f t="shared" si="117"/>
        <v>0</v>
      </c>
      <c r="O262" s="27">
        <f t="shared" si="117"/>
        <v>0</v>
      </c>
      <c r="P262" s="27">
        <f t="shared" si="117"/>
        <v>0</v>
      </c>
      <c r="Q262" s="55"/>
      <c r="R262" s="55"/>
      <c r="S262" s="56"/>
      <c r="T262" s="56"/>
      <c r="U262" s="56"/>
    </row>
    <row r="263" spans="1:21" s="57" customFormat="1" ht="13.15" customHeight="1">
      <c r="A263" s="1064">
        <v>85154</v>
      </c>
      <c r="B263" s="1065" t="s">
        <v>167</v>
      </c>
      <c r="C263" s="26" t="s">
        <v>21</v>
      </c>
      <c r="D263" s="17">
        <f>E263+M263</f>
        <v>620000</v>
      </c>
      <c r="E263" s="27">
        <f>F263+I263+J263+K263+L263</f>
        <v>620000</v>
      </c>
      <c r="F263" s="27">
        <f>G263+H263</f>
        <v>30000</v>
      </c>
      <c r="G263" s="27">
        <v>3000</v>
      </c>
      <c r="H263" s="27">
        <v>27000</v>
      </c>
      <c r="I263" s="27">
        <v>590000</v>
      </c>
      <c r="J263" s="27">
        <v>0</v>
      </c>
      <c r="K263" s="27">
        <v>0</v>
      </c>
      <c r="L263" s="27">
        <v>0</v>
      </c>
      <c r="M263" s="27">
        <f>N263+P263</f>
        <v>0</v>
      </c>
      <c r="N263" s="27">
        <v>0</v>
      </c>
      <c r="O263" s="27">
        <v>0</v>
      </c>
      <c r="P263" s="27">
        <v>0</v>
      </c>
      <c r="Q263" s="55"/>
      <c r="R263" s="55"/>
      <c r="S263" s="56"/>
      <c r="T263" s="56"/>
      <c r="U263" s="56"/>
    </row>
    <row r="264" spans="1:21" s="57" customFormat="1">
      <c r="A264" s="1064"/>
      <c r="B264" s="1065"/>
      <c r="C264" s="26" t="s">
        <v>22</v>
      </c>
      <c r="D264" s="17">
        <f>E264+M264</f>
        <v>-212160</v>
      </c>
      <c r="E264" s="27">
        <f>F264+I264+J264+K264+L264</f>
        <v>-212160</v>
      </c>
      <c r="F264" s="27">
        <f>G264+H264</f>
        <v>-18000</v>
      </c>
      <c r="G264" s="27">
        <v>-3000</v>
      </c>
      <c r="H264" s="27">
        <f>-4000-11000</f>
        <v>-15000</v>
      </c>
      <c r="I264" s="27">
        <v>-194160</v>
      </c>
      <c r="J264" s="27"/>
      <c r="K264" s="27"/>
      <c r="L264" s="27"/>
      <c r="M264" s="27">
        <f>N264+P264</f>
        <v>0</v>
      </c>
      <c r="N264" s="27"/>
      <c r="O264" s="27"/>
      <c r="P264" s="27"/>
      <c r="Q264" s="55"/>
      <c r="R264" s="55"/>
      <c r="S264" s="56"/>
      <c r="T264" s="56"/>
      <c r="U264" s="56"/>
    </row>
    <row r="265" spans="1:21" s="57" customFormat="1">
      <c r="A265" s="1064"/>
      <c r="B265" s="1065"/>
      <c r="C265" s="26" t="s">
        <v>23</v>
      </c>
      <c r="D265" s="17">
        <f t="shared" ref="D265:P265" si="118">D263+D264</f>
        <v>407840</v>
      </c>
      <c r="E265" s="27">
        <f t="shared" si="118"/>
        <v>407840</v>
      </c>
      <c r="F265" s="27">
        <f t="shared" si="118"/>
        <v>12000</v>
      </c>
      <c r="G265" s="27">
        <f t="shared" si="118"/>
        <v>0</v>
      </c>
      <c r="H265" s="27">
        <f t="shared" si="118"/>
        <v>12000</v>
      </c>
      <c r="I265" s="27">
        <f t="shared" si="118"/>
        <v>395840</v>
      </c>
      <c r="J265" s="27">
        <f t="shared" si="118"/>
        <v>0</v>
      </c>
      <c r="K265" s="27">
        <f t="shared" si="118"/>
        <v>0</v>
      </c>
      <c r="L265" s="27">
        <f t="shared" si="118"/>
        <v>0</v>
      </c>
      <c r="M265" s="27">
        <f t="shared" si="118"/>
        <v>0</v>
      </c>
      <c r="N265" s="27">
        <f t="shared" si="118"/>
        <v>0</v>
      </c>
      <c r="O265" s="27">
        <f t="shared" si="118"/>
        <v>0</v>
      </c>
      <c r="P265" s="27">
        <f t="shared" si="118"/>
        <v>0</v>
      </c>
      <c r="Q265" s="55"/>
      <c r="R265" s="55"/>
      <c r="S265" s="56"/>
      <c r="T265" s="56"/>
      <c r="U265" s="56"/>
    </row>
    <row r="266" spans="1:21" s="19" customFormat="1" ht="13.15" hidden="1" customHeight="1">
      <c r="A266" s="1064">
        <v>85156</v>
      </c>
      <c r="B266" s="1065" t="s">
        <v>168</v>
      </c>
      <c r="C266" s="26" t="s">
        <v>21</v>
      </c>
      <c r="D266" s="17">
        <f>E266+M266</f>
        <v>16000</v>
      </c>
      <c r="E266" s="27">
        <f>F266+I266+J266+K266+L266</f>
        <v>16000</v>
      </c>
      <c r="F266" s="27">
        <f>G266+H266</f>
        <v>16000</v>
      </c>
      <c r="G266" s="27">
        <v>0</v>
      </c>
      <c r="H266" s="27">
        <v>16000</v>
      </c>
      <c r="I266" s="27">
        <v>0</v>
      </c>
      <c r="J266" s="27">
        <v>0</v>
      </c>
      <c r="K266" s="27">
        <v>0</v>
      </c>
      <c r="L266" s="27">
        <v>0</v>
      </c>
      <c r="M266" s="27">
        <f>N266+P266</f>
        <v>0</v>
      </c>
      <c r="N266" s="27">
        <v>0</v>
      </c>
      <c r="O266" s="27">
        <v>0</v>
      </c>
      <c r="P266" s="27">
        <v>0</v>
      </c>
      <c r="Q266" s="35"/>
      <c r="R266" s="35"/>
      <c r="S266" s="28"/>
      <c r="T266" s="28"/>
      <c r="U266" s="28"/>
    </row>
    <row r="267" spans="1:21" s="19" customFormat="1" hidden="1">
      <c r="A267" s="1064"/>
      <c r="B267" s="1065"/>
      <c r="C267" s="26" t="s">
        <v>22</v>
      </c>
      <c r="D267" s="17">
        <f>E267+M267</f>
        <v>0</v>
      </c>
      <c r="E267" s="27">
        <f>F267+I267+J267+K267+L267</f>
        <v>0</v>
      </c>
      <c r="F267" s="27">
        <f>G267+H267</f>
        <v>0</v>
      </c>
      <c r="G267" s="27"/>
      <c r="H267" s="27"/>
      <c r="I267" s="27"/>
      <c r="J267" s="27"/>
      <c r="K267" s="27"/>
      <c r="L267" s="27"/>
      <c r="M267" s="27">
        <f>N267+P267</f>
        <v>0</v>
      </c>
      <c r="N267" s="27"/>
      <c r="O267" s="27"/>
      <c r="P267" s="27"/>
      <c r="Q267" s="35"/>
      <c r="R267" s="35"/>
      <c r="S267" s="28"/>
      <c r="T267" s="28"/>
      <c r="U267" s="28"/>
    </row>
    <row r="268" spans="1:21" s="19" customFormat="1" hidden="1">
      <c r="A268" s="1064"/>
      <c r="B268" s="1065"/>
      <c r="C268" s="26" t="s">
        <v>23</v>
      </c>
      <c r="D268" s="17">
        <f t="shared" ref="D268:P268" si="119">D266+D267</f>
        <v>16000</v>
      </c>
      <c r="E268" s="27">
        <f t="shared" si="119"/>
        <v>16000</v>
      </c>
      <c r="F268" s="27">
        <f t="shared" si="119"/>
        <v>16000</v>
      </c>
      <c r="G268" s="27">
        <f t="shared" si="119"/>
        <v>0</v>
      </c>
      <c r="H268" s="27">
        <f t="shared" si="119"/>
        <v>16000</v>
      </c>
      <c r="I268" s="27">
        <f t="shared" si="119"/>
        <v>0</v>
      </c>
      <c r="J268" s="27">
        <f t="shared" si="119"/>
        <v>0</v>
      </c>
      <c r="K268" s="27">
        <f t="shared" si="119"/>
        <v>0</v>
      </c>
      <c r="L268" s="27">
        <f t="shared" si="119"/>
        <v>0</v>
      </c>
      <c r="M268" s="27">
        <f t="shared" si="119"/>
        <v>0</v>
      </c>
      <c r="N268" s="27">
        <f t="shared" si="119"/>
        <v>0</v>
      </c>
      <c r="O268" s="27">
        <f t="shared" si="119"/>
        <v>0</v>
      </c>
      <c r="P268" s="27">
        <f t="shared" si="119"/>
        <v>0</v>
      </c>
      <c r="Q268" s="35"/>
      <c r="R268" s="35"/>
      <c r="S268" s="28"/>
      <c r="T268" s="28"/>
      <c r="U268" s="28"/>
    </row>
    <row r="269" spans="1:21" s="57" customFormat="1" ht="13.15" customHeight="1">
      <c r="A269" s="1064">
        <v>85157</v>
      </c>
      <c r="B269" s="1065" t="s">
        <v>485</v>
      </c>
      <c r="C269" s="26" t="s">
        <v>21</v>
      </c>
      <c r="D269" s="17">
        <f>E269+M269</f>
        <v>0</v>
      </c>
      <c r="E269" s="27">
        <f>F269+I269+J269+K269+L269</f>
        <v>0</v>
      </c>
      <c r="F269" s="27">
        <f>G269+H269</f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f>N269+P269</f>
        <v>0</v>
      </c>
      <c r="N269" s="27">
        <v>0</v>
      </c>
      <c r="O269" s="27">
        <v>0</v>
      </c>
      <c r="P269" s="27">
        <v>0</v>
      </c>
      <c r="Q269" s="55"/>
      <c r="R269" s="55"/>
      <c r="S269" s="56"/>
      <c r="T269" s="56"/>
      <c r="U269" s="56"/>
    </row>
    <row r="270" spans="1:21" s="57" customFormat="1">
      <c r="A270" s="1064"/>
      <c r="B270" s="1065"/>
      <c r="C270" s="26" t="s">
        <v>22</v>
      </c>
      <c r="D270" s="17">
        <f>E270+M270</f>
        <v>35178</v>
      </c>
      <c r="E270" s="27">
        <f>F270+I270+J270+K270+L270</f>
        <v>35178</v>
      </c>
      <c r="F270" s="27">
        <f>G270+H270</f>
        <v>35178</v>
      </c>
      <c r="G270" s="27">
        <v>35178</v>
      </c>
      <c r="H270" s="27"/>
      <c r="I270" s="27"/>
      <c r="J270" s="27"/>
      <c r="K270" s="27"/>
      <c r="L270" s="27"/>
      <c r="M270" s="27">
        <f>N270+P270</f>
        <v>0</v>
      </c>
      <c r="N270" s="27"/>
      <c r="O270" s="27"/>
      <c r="P270" s="27"/>
      <c r="Q270" s="55"/>
      <c r="R270" s="55"/>
      <c r="S270" s="56"/>
      <c r="T270" s="56"/>
      <c r="U270" s="56"/>
    </row>
    <row r="271" spans="1:21" s="57" customFormat="1">
      <c r="A271" s="1064"/>
      <c r="B271" s="1065"/>
      <c r="C271" s="26" t="s">
        <v>23</v>
      </c>
      <c r="D271" s="17">
        <f t="shared" ref="D271:P271" si="120">D269+D270</f>
        <v>35178</v>
      </c>
      <c r="E271" s="27">
        <f t="shared" si="120"/>
        <v>35178</v>
      </c>
      <c r="F271" s="27">
        <f t="shared" si="120"/>
        <v>35178</v>
      </c>
      <c r="G271" s="27">
        <f t="shared" si="120"/>
        <v>35178</v>
      </c>
      <c r="H271" s="27">
        <f t="shared" si="120"/>
        <v>0</v>
      </c>
      <c r="I271" s="27">
        <f t="shared" si="120"/>
        <v>0</v>
      </c>
      <c r="J271" s="27">
        <f t="shared" si="120"/>
        <v>0</v>
      </c>
      <c r="K271" s="27">
        <f t="shared" si="120"/>
        <v>0</v>
      </c>
      <c r="L271" s="27">
        <f t="shared" si="120"/>
        <v>0</v>
      </c>
      <c r="M271" s="27">
        <f t="shared" si="120"/>
        <v>0</v>
      </c>
      <c r="N271" s="27">
        <f t="shared" si="120"/>
        <v>0</v>
      </c>
      <c r="O271" s="27">
        <f t="shared" si="120"/>
        <v>0</v>
      </c>
      <c r="P271" s="27">
        <f t="shared" si="120"/>
        <v>0</v>
      </c>
      <c r="Q271" s="55"/>
      <c r="R271" s="55"/>
      <c r="S271" s="56"/>
      <c r="T271" s="56"/>
      <c r="U271" s="56"/>
    </row>
    <row r="272" spans="1:21" s="57" customFormat="1" ht="13.15" customHeight="1">
      <c r="A272" s="1064">
        <v>85195</v>
      </c>
      <c r="B272" s="1065" t="s">
        <v>37</v>
      </c>
      <c r="C272" s="26" t="s">
        <v>21</v>
      </c>
      <c r="D272" s="17">
        <f>E272+M272</f>
        <v>184958992</v>
      </c>
      <c r="E272" s="27">
        <f>F272+I272+J272+K272+L272</f>
        <v>67308141</v>
      </c>
      <c r="F272" s="27">
        <f>G272+H272</f>
        <v>20000</v>
      </c>
      <c r="G272" s="27">
        <v>0</v>
      </c>
      <c r="H272" s="27">
        <v>20000</v>
      </c>
      <c r="I272" s="27">
        <v>0</v>
      </c>
      <c r="J272" s="27">
        <v>0</v>
      </c>
      <c r="K272" s="27">
        <v>67288141</v>
      </c>
      <c r="L272" s="27">
        <v>0</v>
      </c>
      <c r="M272" s="27">
        <f>N272+P272</f>
        <v>117650851</v>
      </c>
      <c r="N272" s="27">
        <v>72958351</v>
      </c>
      <c r="O272" s="27">
        <v>72958351</v>
      </c>
      <c r="P272" s="27">
        <v>44692500</v>
      </c>
      <c r="Q272" s="55"/>
      <c r="R272" s="55"/>
      <c r="S272" s="56"/>
      <c r="T272" s="56"/>
      <c r="U272" s="56"/>
    </row>
    <row r="273" spans="1:21" s="57" customFormat="1">
      <c r="A273" s="1064"/>
      <c r="B273" s="1065"/>
      <c r="C273" s="26" t="s">
        <v>22</v>
      </c>
      <c r="D273" s="17">
        <f>E273+M273</f>
        <v>-44680278</v>
      </c>
      <c r="E273" s="27">
        <f>F273+I273+J273+K273+L273</f>
        <v>-24402504</v>
      </c>
      <c r="F273" s="27">
        <f>G273+H273</f>
        <v>0</v>
      </c>
      <c r="G273" s="27"/>
      <c r="H273" s="27"/>
      <c r="I273" s="27"/>
      <c r="J273" s="27"/>
      <c r="K273" s="27">
        <f>-24402504</f>
        <v>-24402504</v>
      </c>
      <c r="L273" s="27"/>
      <c r="M273" s="27">
        <f>N273+P273</f>
        <v>-20277774</v>
      </c>
      <c r="N273" s="27">
        <f>-1754805-198195-48577297-5397477</f>
        <v>-55927774</v>
      </c>
      <c r="O273" s="27">
        <v>-55927774</v>
      </c>
      <c r="P273" s="27">
        <v>35650000</v>
      </c>
      <c r="Q273" s="55"/>
      <c r="R273" s="55"/>
      <c r="S273" s="56"/>
      <c r="T273" s="56"/>
      <c r="U273" s="56"/>
    </row>
    <row r="274" spans="1:21" s="57" customFormat="1">
      <c r="A274" s="1064"/>
      <c r="B274" s="1065"/>
      <c r="C274" s="26" t="s">
        <v>23</v>
      </c>
      <c r="D274" s="17">
        <f t="shared" ref="D274:P274" si="121">D272+D273</f>
        <v>140278714</v>
      </c>
      <c r="E274" s="27">
        <f t="shared" si="121"/>
        <v>42905637</v>
      </c>
      <c r="F274" s="27">
        <f t="shared" si="121"/>
        <v>20000</v>
      </c>
      <c r="G274" s="27">
        <f t="shared" si="121"/>
        <v>0</v>
      </c>
      <c r="H274" s="27">
        <f t="shared" si="121"/>
        <v>20000</v>
      </c>
      <c r="I274" s="27">
        <f t="shared" si="121"/>
        <v>0</v>
      </c>
      <c r="J274" s="27">
        <f t="shared" si="121"/>
        <v>0</v>
      </c>
      <c r="K274" s="27">
        <f t="shared" si="121"/>
        <v>42885637</v>
      </c>
      <c r="L274" s="27">
        <f t="shared" si="121"/>
        <v>0</v>
      </c>
      <c r="M274" s="27">
        <f t="shared" si="121"/>
        <v>97373077</v>
      </c>
      <c r="N274" s="27">
        <f t="shared" si="121"/>
        <v>17030577</v>
      </c>
      <c r="O274" s="27">
        <f t="shared" si="121"/>
        <v>17030577</v>
      </c>
      <c r="P274" s="27">
        <f t="shared" si="121"/>
        <v>80342500</v>
      </c>
      <c r="Q274" s="55"/>
      <c r="R274" s="55"/>
      <c r="S274" s="56"/>
      <c r="T274" s="56"/>
      <c r="U274" s="56"/>
    </row>
    <row r="275" spans="1:21" s="45" customFormat="1" ht="15" customHeight="1">
      <c r="A275" s="1062">
        <v>852</v>
      </c>
      <c r="B275" s="1063" t="s">
        <v>169</v>
      </c>
      <c r="C275" s="42" t="s">
        <v>21</v>
      </c>
      <c r="D275" s="30">
        <f t="shared" ref="D275:P275" si="122">D278+D281+D284+D290+D287</f>
        <v>50393687</v>
      </c>
      <c r="E275" s="31">
        <f t="shared" si="122"/>
        <v>48873664</v>
      </c>
      <c r="F275" s="31">
        <f t="shared" si="122"/>
        <v>2963796</v>
      </c>
      <c r="G275" s="31">
        <f t="shared" si="122"/>
        <v>2169290</v>
      </c>
      <c r="H275" s="31">
        <f t="shared" si="122"/>
        <v>794506</v>
      </c>
      <c r="I275" s="31">
        <f t="shared" si="122"/>
        <v>30000</v>
      </c>
      <c r="J275" s="31">
        <f t="shared" si="122"/>
        <v>48900</v>
      </c>
      <c r="K275" s="31">
        <f t="shared" si="122"/>
        <v>45830968</v>
      </c>
      <c r="L275" s="31">
        <f t="shared" si="122"/>
        <v>0</v>
      </c>
      <c r="M275" s="31">
        <f t="shared" si="122"/>
        <v>1520023</v>
      </c>
      <c r="N275" s="31">
        <f t="shared" si="122"/>
        <v>1520023</v>
      </c>
      <c r="O275" s="31">
        <f t="shared" si="122"/>
        <v>1507523</v>
      </c>
      <c r="P275" s="31">
        <f t="shared" si="122"/>
        <v>0</v>
      </c>
      <c r="Q275" s="43"/>
      <c r="R275" s="43"/>
      <c r="S275" s="44"/>
      <c r="T275" s="44"/>
      <c r="U275" s="44"/>
    </row>
    <row r="276" spans="1:21" s="45" customFormat="1" ht="15" customHeight="1">
      <c r="A276" s="1062"/>
      <c r="B276" s="1063"/>
      <c r="C276" s="42" t="s">
        <v>22</v>
      </c>
      <c r="D276" s="30">
        <f t="shared" ref="D276:P276" si="123">D279+D282+D285+D291+D288</f>
        <v>-63694</v>
      </c>
      <c r="E276" s="31">
        <f t="shared" si="123"/>
        <v>974041</v>
      </c>
      <c r="F276" s="31">
        <f t="shared" si="123"/>
        <v>-50000</v>
      </c>
      <c r="G276" s="31">
        <f t="shared" si="123"/>
        <v>-10000</v>
      </c>
      <c r="H276" s="31">
        <f t="shared" si="123"/>
        <v>-40000</v>
      </c>
      <c r="I276" s="31">
        <f t="shared" si="123"/>
        <v>0</v>
      </c>
      <c r="J276" s="31">
        <f t="shared" si="123"/>
        <v>0</v>
      </c>
      <c r="K276" s="31">
        <f t="shared" si="123"/>
        <v>1024041</v>
      </c>
      <c r="L276" s="31">
        <f t="shared" si="123"/>
        <v>0</v>
      </c>
      <c r="M276" s="31">
        <f t="shared" si="123"/>
        <v>-1037735</v>
      </c>
      <c r="N276" s="31">
        <f t="shared" si="123"/>
        <v>-1037735</v>
      </c>
      <c r="O276" s="31">
        <f t="shared" si="123"/>
        <v>-1037735</v>
      </c>
      <c r="P276" s="31">
        <f t="shared" si="123"/>
        <v>0</v>
      </c>
      <c r="Q276" s="43"/>
      <c r="R276" s="43"/>
      <c r="S276" s="44"/>
      <c r="T276" s="44"/>
      <c r="U276" s="44"/>
    </row>
    <row r="277" spans="1:21" s="45" customFormat="1" ht="15" customHeight="1">
      <c r="A277" s="1062"/>
      <c r="B277" s="1063"/>
      <c r="C277" s="42" t="s">
        <v>23</v>
      </c>
      <c r="D277" s="30">
        <f t="shared" ref="D277:P277" si="124">D275+D276</f>
        <v>50329993</v>
      </c>
      <c r="E277" s="31">
        <f t="shared" si="124"/>
        <v>49847705</v>
      </c>
      <c r="F277" s="31">
        <f t="shared" si="124"/>
        <v>2913796</v>
      </c>
      <c r="G277" s="31">
        <f t="shared" si="124"/>
        <v>2159290</v>
      </c>
      <c r="H277" s="31">
        <f t="shared" si="124"/>
        <v>754506</v>
      </c>
      <c r="I277" s="31">
        <f t="shared" si="124"/>
        <v>30000</v>
      </c>
      <c r="J277" s="31">
        <f t="shared" si="124"/>
        <v>48900</v>
      </c>
      <c r="K277" s="31">
        <f t="shared" si="124"/>
        <v>46855009</v>
      </c>
      <c r="L277" s="31">
        <f t="shared" si="124"/>
        <v>0</v>
      </c>
      <c r="M277" s="31">
        <f t="shared" si="124"/>
        <v>482288</v>
      </c>
      <c r="N277" s="31">
        <f t="shared" si="124"/>
        <v>482288</v>
      </c>
      <c r="O277" s="31">
        <f t="shared" si="124"/>
        <v>469788</v>
      </c>
      <c r="P277" s="31">
        <f t="shared" si="124"/>
        <v>0</v>
      </c>
      <c r="Q277" s="43"/>
      <c r="R277" s="43"/>
      <c r="S277" s="44"/>
      <c r="T277" s="44"/>
      <c r="U277" s="44"/>
    </row>
    <row r="278" spans="1:21" s="57" customFormat="1" ht="13.15" customHeight="1">
      <c r="A278" s="1064">
        <v>85203</v>
      </c>
      <c r="B278" s="1065" t="s">
        <v>170</v>
      </c>
      <c r="C278" s="26" t="s">
        <v>21</v>
      </c>
      <c r="D278" s="17">
        <f>E278+M278</f>
        <v>1500000</v>
      </c>
      <c r="E278" s="27">
        <f>F278+I278+J278+K278+L278</f>
        <v>1500000</v>
      </c>
      <c r="F278" s="27">
        <f>G278+H278</f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1500000</v>
      </c>
      <c r="L278" s="27">
        <v>0</v>
      </c>
      <c r="M278" s="27">
        <f>N278+P278</f>
        <v>0</v>
      </c>
      <c r="N278" s="27">
        <v>0</v>
      </c>
      <c r="O278" s="27">
        <v>0</v>
      </c>
      <c r="P278" s="27">
        <v>0</v>
      </c>
      <c r="Q278" s="55"/>
      <c r="R278" s="55"/>
      <c r="S278" s="56"/>
      <c r="T278" s="56"/>
      <c r="U278" s="56"/>
    </row>
    <row r="279" spans="1:21" s="57" customFormat="1">
      <c r="A279" s="1064"/>
      <c r="B279" s="1065"/>
      <c r="C279" s="26" t="s">
        <v>22</v>
      </c>
      <c r="D279" s="17">
        <f>E279+M279</f>
        <v>197000</v>
      </c>
      <c r="E279" s="27">
        <f>F279+I279+J279+K279+L279</f>
        <v>197000</v>
      </c>
      <c r="F279" s="27">
        <f>G279+H279</f>
        <v>0</v>
      </c>
      <c r="G279" s="27"/>
      <c r="H279" s="27"/>
      <c r="I279" s="27"/>
      <c r="J279" s="27"/>
      <c r="K279" s="27">
        <v>197000</v>
      </c>
      <c r="L279" s="27"/>
      <c r="M279" s="27">
        <f>N279+P279</f>
        <v>0</v>
      </c>
      <c r="N279" s="27"/>
      <c r="O279" s="27"/>
      <c r="P279" s="27"/>
      <c r="Q279" s="55"/>
      <c r="R279" s="55"/>
      <c r="S279" s="56"/>
      <c r="T279" s="56"/>
      <c r="U279" s="56"/>
    </row>
    <row r="280" spans="1:21" s="57" customFormat="1">
      <c r="A280" s="1064"/>
      <c r="B280" s="1065"/>
      <c r="C280" s="26" t="s">
        <v>23</v>
      </c>
      <c r="D280" s="17">
        <f t="shared" ref="D280:P280" si="125">D278+D279</f>
        <v>1697000</v>
      </c>
      <c r="E280" s="27">
        <f t="shared" si="125"/>
        <v>1697000</v>
      </c>
      <c r="F280" s="27">
        <f t="shared" si="125"/>
        <v>0</v>
      </c>
      <c r="G280" s="27">
        <f t="shared" si="125"/>
        <v>0</v>
      </c>
      <c r="H280" s="27">
        <f t="shared" si="125"/>
        <v>0</v>
      </c>
      <c r="I280" s="27">
        <f t="shared" si="125"/>
        <v>0</v>
      </c>
      <c r="J280" s="27">
        <f t="shared" si="125"/>
        <v>0</v>
      </c>
      <c r="K280" s="27">
        <f t="shared" si="125"/>
        <v>1697000</v>
      </c>
      <c r="L280" s="27">
        <f t="shared" si="125"/>
        <v>0</v>
      </c>
      <c r="M280" s="27">
        <f t="shared" si="125"/>
        <v>0</v>
      </c>
      <c r="N280" s="27">
        <f t="shared" si="125"/>
        <v>0</v>
      </c>
      <c r="O280" s="27">
        <f t="shared" si="125"/>
        <v>0</v>
      </c>
      <c r="P280" s="27">
        <f t="shared" si="125"/>
        <v>0</v>
      </c>
      <c r="Q280" s="55"/>
      <c r="R280" s="55"/>
      <c r="S280" s="56"/>
      <c r="T280" s="56"/>
      <c r="U280" s="56"/>
    </row>
    <row r="281" spans="1:21" s="19" customFormat="1" ht="13.15" customHeight="1">
      <c r="A281" s="1064">
        <v>85205</v>
      </c>
      <c r="B281" s="1065" t="s">
        <v>171</v>
      </c>
      <c r="C281" s="26" t="s">
        <v>21</v>
      </c>
      <c r="D281" s="17">
        <f>E281+M281</f>
        <v>500000</v>
      </c>
      <c r="E281" s="27">
        <f>F281+I281+J281+K281+L281</f>
        <v>500000</v>
      </c>
      <c r="F281" s="27">
        <f>G281+H281</f>
        <v>470000</v>
      </c>
      <c r="G281" s="27">
        <v>189100</v>
      </c>
      <c r="H281" s="27">
        <v>280900</v>
      </c>
      <c r="I281" s="27">
        <v>30000</v>
      </c>
      <c r="J281" s="27">
        <v>0</v>
      </c>
      <c r="K281" s="27">
        <v>0</v>
      </c>
      <c r="L281" s="27">
        <v>0</v>
      </c>
      <c r="M281" s="27">
        <f>N281+P281</f>
        <v>0</v>
      </c>
      <c r="N281" s="27">
        <v>0</v>
      </c>
      <c r="O281" s="27">
        <v>0</v>
      </c>
      <c r="P281" s="27">
        <v>0</v>
      </c>
      <c r="Q281" s="35"/>
      <c r="R281" s="35"/>
      <c r="S281" s="28"/>
      <c r="T281" s="28"/>
      <c r="U281" s="28"/>
    </row>
    <row r="282" spans="1:21" s="19" customFormat="1">
      <c r="A282" s="1064"/>
      <c r="B282" s="1065"/>
      <c r="C282" s="26" t="s">
        <v>22</v>
      </c>
      <c r="D282" s="17">
        <f>E282+M282</f>
        <v>-50000</v>
      </c>
      <c r="E282" s="27">
        <f>F282+I282+J282+K282+L282</f>
        <v>-50000</v>
      </c>
      <c r="F282" s="27">
        <f>G282+H282</f>
        <v>-50000</v>
      </c>
      <c r="G282" s="27">
        <v>-10000</v>
      </c>
      <c r="H282" s="27">
        <v>-40000</v>
      </c>
      <c r="I282" s="27"/>
      <c r="J282" s="27"/>
      <c r="K282" s="27"/>
      <c r="L282" s="27"/>
      <c r="M282" s="27">
        <f>N282+P282</f>
        <v>0</v>
      </c>
      <c r="N282" s="27"/>
      <c r="O282" s="27"/>
      <c r="P282" s="27"/>
      <c r="Q282" s="35"/>
      <c r="R282" s="35"/>
      <c r="S282" s="28"/>
      <c r="T282" s="28"/>
      <c r="U282" s="28"/>
    </row>
    <row r="283" spans="1:21" s="19" customFormat="1">
      <c r="A283" s="1064"/>
      <c r="B283" s="1065"/>
      <c r="C283" s="26" t="s">
        <v>23</v>
      </c>
      <c r="D283" s="17">
        <f t="shared" ref="D283:P283" si="126">D281+D282</f>
        <v>450000</v>
      </c>
      <c r="E283" s="27">
        <f t="shared" si="126"/>
        <v>450000</v>
      </c>
      <c r="F283" s="27">
        <f t="shared" si="126"/>
        <v>420000</v>
      </c>
      <c r="G283" s="27">
        <f t="shared" si="126"/>
        <v>179100</v>
      </c>
      <c r="H283" s="27">
        <f t="shared" si="126"/>
        <v>240900</v>
      </c>
      <c r="I283" s="27">
        <f t="shared" si="126"/>
        <v>30000</v>
      </c>
      <c r="J283" s="27">
        <f t="shared" si="126"/>
        <v>0</v>
      </c>
      <c r="K283" s="27">
        <f t="shared" si="126"/>
        <v>0</v>
      </c>
      <c r="L283" s="27">
        <f t="shared" si="126"/>
        <v>0</v>
      </c>
      <c r="M283" s="27">
        <f t="shared" si="126"/>
        <v>0</v>
      </c>
      <c r="N283" s="27">
        <f t="shared" si="126"/>
        <v>0</v>
      </c>
      <c r="O283" s="27">
        <f t="shared" si="126"/>
        <v>0</v>
      </c>
      <c r="P283" s="27">
        <f t="shared" si="126"/>
        <v>0</v>
      </c>
      <c r="Q283" s="35"/>
      <c r="R283" s="35"/>
      <c r="S283" s="28"/>
      <c r="T283" s="28"/>
      <c r="U283" s="28"/>
    </row>
    <row r="284" spans="1:21" s="57" customFormat="1" ht="13.15" hidden="1" customHeight="1">
      <c r="A284" s="1064">
        <v>85217</v>
      </c>
      <c r="B284" s="1065" t="s">
        <v>172</v>
      </c>
      <c r="C284" s="26" t="s">
        <v>21</v>
      </c>
      <c r="D284" s="17">
        <f>E284+M284</f>
        <v>2493196</v>
      </c>
      <c r="E284" s="27">
        <f>F284+I284+J284+K284+L284</f>
        <v>2480696</v>
      </c>
      <c r="F284" s="27">
        <f>G284+H284</f>
        <v>2476796</v>
      </c>
      <c r="G284" s="27">
        <v>1980190</v>
      </c>
      <c r="H284" s="27">
        <v>496606</v>
      </c>
      <c r="I284" s="27">
        <v>0</v>
      </c>
      <c r="J284" s="27">
        <v>3900</v>
      </c>
      <c r="K284" s="27">
        <v>0</v>
      </c>
      <c r="L284" s="27">
        <v>0</v>
      </c>
      <c r="M284" s="27">
        <f>N284+P284</f>
        <v>12500</v>
      </c>
      <c r="N284" s="27">
        <v>12500</v>
      </c>
      <c r="O284" s="27">
        <v>0</v>
      </c>
      <c r="P284" s="27">
        <v>0</v>
      </c>
      <c r="Q284" s="55"/>
      <c r="R284" s="55"/>
      <c r="S284" s="56"/>
      <c r="T284" s="56"/>
      <c r="U284" s="56"/>
    </row>
    <row r="285" spans="1:21" s="57" customFormat="1" hidden="1">
      <c r="A285" s="1064"/>
      <c r="B285" s="1065"/>
      <c r="C285" s="26" t="s">
        <v>22</v>
      </c>
      <c r="D285" s="17">
        <f>E285+M285</f>
        <v>0</v>
      </c>
      <c r="E285" s="27">
        <f>F285+I285+J285+K285+L285</f>
        <v>0</v>
      </c>
      <c r="F285" s="27">
        <f>G285+H285</f>
        <v>0</v>
      </c>
      <c r="G285" s="27"/>
      <c r="H285" s="27"/>
      <c r="I285" s="27"/>
      <c r="J285" s="27"/>
      <c r="K285" s="27"/>
      <c r="L285" s="27"/>
      <c r="M285" s="27">
        <f>N285+P285</f>
        <v>0</v>
      </c>
      <c r="N285" s="27"/>
      <c r="O285" s="27"/>
      <c r="P285" s="27"/>
      <c r="Q285" s="55"/>
      <c r="R285" s="55"/>
      <c r="S285" s="56"/>
      <c r="T285" s="56"/>
      <c r="U285" s="56"/>
    </row>
    <row r="286" spans="1:21" s="57" customFormat="1" hidden="1">
      <c r="A286" s="1064"/>
      <c r="B286" s="1065"/>
      <c r="C286" s="26" t="s">
        <v>23</v>
      </c>
      <c r="D286" s="17">
        <f t="shared" ref="D286:P286" si="127">D284+D285</f>
        <v>2493196</v>
      </c>
      <c r="E286" s="27">
        <f t="shared" si="127"/>
        <v>2480696</v>
      </c>
      <c r="F286" s="27">
        <f t="shared" si="127"/>
        <v>2476796</v>
      </c>
      <c r="G286" s="27">
        <f t="shared" si="127"/>
        <v>1980190</v>
      </c>
      <c r="H286" s="27">
        <f t="shared" si="127"/>
        <v>496606</v>
      </c>
      <c r="I286" s="27">
        <f t="shared" si="127"/>
        <v>0</v>
      </c>
      <c r="J286" s="27">
        <f t="shared" si="127"/>
        <v>3900</v>
      </c>
      <c r="K286" s="27">
        <f t="shared" si="127"/>
        <v>0</v>
      </c>
      <c r="L286" s="27">
        <f t="shared" si="127"/>
        <v>0</v>
      </c>
      <c r="M286" s="27">
        <f t="shared" si="127"/>
        <v>12500</v>
      </c>
      <c r="N286" s="27">
        <f t="shared" si="127"/>
        <v>12500</v>
      </c>
      <c r="O286" s="27">
        <f t="shared" si="127"/>
        <v>0</v>
      </c>
      <c r="P286" s="27">
        <f t="shared" si="127"/>
        <v>0</v>
      </c>
      <c r="Q286" s="55"/>
      <c r="R286" s="55"/>
      <c r="S286" s="56"/>
      <c r="T286" s="56"/>
      <c r="U286" s="56"/>
    </row>
    <row r="287" spans="1:21" s="19" customFormat="1" ht="13.15" customHeight="1">
      <c r="A287" s="1064">
        <v>85228</v>
      </c>
      <c r="B287" s="1065" t="s">
        <v>173</v>
      </c>
      <c r="C287" s="26" t="s">
        <v>21</v>
      </c>
      <c r="D287" s="17">
        <f>E287+M287</f>
        <v>115000</v>
      </c>
      <c r="E287" s="27">
        <f>F287+I287+J287+K287+L287</f>
        <v>115000</v>
      </c>
      <c r="F287" s="27">
        <f>G287+H287</f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115000</v>
      </c>
      <c r="L287" s="27">
        <v>0</v>
      </c>
      <c r="M287" s="27">
        <f>N287+P287</f>
        <v>0</v>
      </c>
      <c r="N287" s="27">
        <v>0</v>
      </c>
      <c r="O287" s="27">
        <v>0</v>
      </c>
      <c r="P287" s="27">
        <v>0</v>
      </c>
      <c r="Q287" s="35"/>
      <c r="R287" s="35"/>
      <c r="S287" s="28"/>
      <c r="T287" s="28"/>
      <c r="U287" s="28"/>
    </row>
    <row r="288" spans="1:21" s="19" customFormat="1">
      <c r="A288" s="1064"/>
      <c r="B288" s="1065"/>
      <c r="C288" s="26" t="s">
        <v>22</v>
      </c>
      <c r="D288" s="17">
        <f>E288+M288</f>
        <v>-44876</v>
      </c>
      <c r="E288" s="27">
        <f>F288+I288+J288+K288+L288</f>
        <v>-44876</v>
      </c>
      <c r="F288" s="27">
        <f>G288+H288</f>
        <v>0</v>
      </c>
      <c r="G288" s="27"/>
      <c r="H288" s="27"/>
      <c r="I288" s="27"/>
      <c r="J288" s="27"/>
      <c r="K288" s="27">
        <v>-44876</v>
      </c>
      <c r="L288" s="27"/>
      <c r="M288" s="27">
        <f>N288+P288</f>
        <v>0</v>
      </c>
      <c r="N288" s="27"/>
      <c r="O288" s="27"/>
      <c r="P288" s="27"/>
      <c r="Q288" s="35"/>
      <c r="R288" s="35"/>
      <c r="S288" s="28"/>
      <c r="T288" s="28"/>
      <c r="U288" s="28"/>
    </row>
    <row r="289" spans="1:21" s="19" customFormat="1">
      <c r="A289" s="1064"/>
      <c r="B289" s="1065"/>
      <c r="C289" s="26" t="s">
        <v>23</v>
      </c>
      <c r="D289" s="17">
        <f t="shared" ref="D289:P289" si="128">D287+D288</f>
        <v>70124</v>
      </c>
      <c r="E289" s="27">
        <f t="shared" si="128"/>
        <v>70124</v>
      </c>
      <c r="F289" s="27">
        <f t="shared" si="128"/>
        <v>0</v>
      </c>
      <c r="G289" s="27">
        <f t="shared" si="128"/>
        <v>0</v>
      </c>
      <c r="H289" s="27">
        <f t="shared" si="128"/>
        <v>0</v>
      </c>
      <c r="I289" s="27">
        <f t="shared" si="128"/>
        <v>0</v>
      </c>
      <c r="J289" s="27">
        <f t="shared" si="128"/>
        <v>0</v>
      </c>
      <c r="K289" s="27">
        <f t="shared" si="128"/>
        <v>70124</v>
      </c>
      <c r="L289" s="27">
        <f t="shared" si="128"/>
        <v>0</v>
      </c>
      <c r="M289" s="27">
        <f t="shared" si="128"/>
        <v>0</v>
      </c>
      <c r="N289" s="27">
        <f t="shared" si="128"/>
        <v>0</v>
      </c>
      <c r="O289" s="27">
        <f t="shared" si="128"/>
        <v>0</v>
      </c>
      <c r="P289" s="27">
        <f t="shared" si="128"/>
        <v>0</v>
      </c>
      <c r="Q289" s="35"/>
      <c r="R289" s="35"/>
      <c r="S289" s="28"/>
      <c r="T289" s="28"/>
      <c r="U289" s="28"/>
    </row>
    <row r="290" spans="1:21" s="57" customFormat="1" ht="13.15" customHeight="1">
      <c r="A290" s="1064">
        <v>85295</v>
      </c>
      <c r="B290" s="1065" t="s">
        <v>37</v>
      </c>
      <c r="C290" s="26" t="s">
        <v>21</v>
      </c>
      <c r="D290" s="17">
        <f>E290+M290</f>
        <v>45785491</v>
      </c>
      <c r="E290" s="27">
        <f>F290+I290+J290+K290+L290</f>
        <v>44277968</v>
      </c>
      <c r="F290" s="27">
        <f>G290+H290</f>
        <v>17000</v>
      </c>
      <c r="G290" s="27">
        <v>0</v>
      </c>
      <c r="H290" s="27">
        <v>17000</v>
      </c>
      <c r="I290" s="27">
        <v>0</v>
      </c>
      <c r="J290" s="27">
        <v>45000</v>
      </c>
      <c r="K290" s="27">
        <v>44215968</v>
      </c>
      <c r="L290" s="27">
        <v>0</v>
      </c>
      <c r="M290" s="27">
        <f>N290+P290</f>
        <v>1507523</v>
      </c>
      <c r="N290" s="27">
        <v>1507523</v>
      </c>
      <c r="O290" s="27">
        <v>1507523</v>
      </c>
      <c r="P290" s="27">
        <v>0</v>
      </c>
      <c r="Q290" s="55"/>
      <c r="R290" s="55"/>
      <c r="S290" s="56"/>
      <c r="T290" s="56"/>
      <c r="U290" s="56"/>
    </row>
    <row r="291" spans="1:21" s="57" customFormat="1">
      <c r="A291" s="1064"/>
      <c r="B291" s="1065"/>
      <c r="C291" s="26" t="s">
        <v>22</v>
      </c>
      <c r="D291" s="17">
        <f>E291+M291</f>
        <v>-165818</v>
      </c>
      <c r="E291" s="27">
        <f>F291+I291+J291+K291+L291</f>
        <v>871917</v>
      </c>
      <c r="F291" s="27">
        <f>G291+H291</f>
        <v>0</v>
      </c>
      <c r="G291" s="27"/>
      <c r="H291" s="27"/>
      <c r="I291" s="27"/>
      <c r="J291" s="27"/>
      <c r="K291" s="27">
        <f>1436910-567574+2294+287</f>
        <v>871917</v>
      </c>
      <c r="L291" s="27"/>
      <c r="M291" s="27">
        <f>N291+P291</f>
        <v>-1037735</v>
      </c>
      <c r="N291" s="27">
        <f>136314-1175223+1174</f>
        <v>-1037735</v>
      </c>
      <c r="O291" s="27">
        <v>-1037735</v>
      </c>
      <c r="P291" s="27"/>
      <c r="Q291" s="55"/>
      <c r="R291" s="55"/>
      <c r="S291" s="56"/>
      <c r="T291" s="56"/>
      <c r="U291" s="56"/>
    </row>
    <row r="292" spans="1:21" s="57" customFormat="1">
      <c r="A292" s="1064"/>
      <c r="B292" s="1065"/>
      <c r="C292" s="26" t="s">
        <v>23</v>
      </c>
      <c r="D292" s="17">
        <f t="shared" ref="D292:P292" si="129">D290+D291</f>
        <v>45619673</v>
      </c>
      <c r="E292" s="27">
        <f t="shared" si="129"/>
        <v>45149885</v>
      </c>
      <c r="F292" s="27">
        <f t="shared" si="129"/>
        <v>17000</v>
      </c>
      <c r="G292" s="27">
        <f t="shared" si="129"/>
        <v>0</v>
      </c>
      <c r="H292" s="27">
        <f t="shared" si="129"/>
        <v>17000</v>
      </c>
      <c r="I292" s="27">
        <f t="shared" si="129"/>
        <v>0</v>
      </c>
      <c r="J292" s="27">
        <f t="shared" si="129"/>
        <v>45000</v>
      </c>
      <c r="K292" s="27">
        <f t="shared" si="129"/>
        <v>45087885</v>
      </c>
      <c r="L292" s="27">
        <f t="shared" si="129"/>
        <v>0</v>
      </c>
      <c r="M292" s="27">
        <f t="shared" si="129"/>
        <v>469788</v>
      </c>
      <c r="N292" s="27">
        <f t="shared" si="129"/>
        <v>469788</v>
      </c>
      <c r="O292" s="27">
        <f t="shared" si="129"/>
        <v>469788</v>
      </c>
      <c r="P292" s="27">
        <f t="shared" si="129"/>
        <v>0</v>
      </c>
      <c r="Q292" s="55"/>
      <c r="R292" s="55"/>
      <c r="S292" s="56"/>
      <c r="T292" s="56"/>
      <c r="U292" s="56"/>
    </row>
    <row r="293" spans="1:21" s="45" customFormat="1" ht="15" customHeight="1">
      <c r="A293" s="1062">
        <v>853</v>
      </c>
      <c r="B293" s="1063" t="s">
        <v>174</v>
      </c>
      <c r="C293" s="42" t="s">
        <v>21</v>
      </c>
      <c r="D293" s="30">
        <f t="shared" ref="D293:P293" si="130">D296+D299+D305+D308+D302</f>
        <v>81533215</v>
      </c>
      <c r="E293" s="31">
        <f t="shared" si="130"/>
        <v>81416915</v>
      </c>
      <c r="F293" s="31">
        <f t="shared" si="130"/>
        <v>11265379</v>
      </c>
      <c r="G293" s="31">
        <f t="shared" si="130"/>
        <v>9029655</v>
      </c>
      <c r="H293" s="31">
        <f t="shared" si="130"/>
        <v>2235724</v>
      </c>
      <c r="I293" s="31">
        <f t="shared" si="130"/>
        <v>544000</v>
      </c>
      <c r="J293" s="31">
        <f t="shared" si="130"/>
        <v>24213</v>
      </c>
      <c r="K293" s="31">
        <f t="shared" si="130"/>
        <v>69583323</v>
      </c>
      <c r="L293" s="31">
        <f t="shared" si="130"/>
        <v>0</v>
      </c>
      <c r="M293" s="31">
        <f t="shared" si="130"/>
        <v>116300</v>
      </c>
      <c r="N293" s="31">
        <f t="shared" si="130"/>
        <v>116300</v>
      </c>
      <c r="O293" s="31">
        <f t="shared" si="130"/>
        <v>56300</v>
      </c>
      <c r="P293" s="31">
        <f t="shared" si="130"/>
        <v>0</v>
      </c>
      <c r="Q293" s="43"/>
      <c r="R293" s="43"/>
      <c r="S293" s="44"/>
      <c r="T293" s="44"/>
      <c r="U293" s="44"/>
    </row>
    <row r="294" spans="1:21" s="45" customFormat="1" ht="15" customHeight="1">
      <c r="A294" s="1062"/>
      <c r="B294" s="1063"/>
      <c r="C294" s="42" t="s">
        <v>22</v>
      </c>
      <c r="D294" s="30">
        <f t="shared" ref="D294:P294" si="131">D297+D300+D306+D309+D303</f>
        <v>-8626818</v>
      </c>
      <c r="E294" s="31">
        <f t="shared" si="131"/>
        <v>-9526818</v>
      </c>
      <c r="F294" s="31">
        <f t="shared" si="131"/>
        <v>25900</v>
      </c>
      <c r="G294" s="31">
        <f t="shared" si="131"/>
        <v>25900</v>
      </c>
      <c r="H294" s="31">
        <f t="shared" si="131"/>
        <v>0</v>
      </c>
      <c r="I294" s="31">
        <f t="shared" si="131"/>
        <v>-274240</v>
      </c>
      <c r="J294" s="31">
        <f t="shared" si="131"/>
        <v>0</v>
      </c>
      <c r="K294" s="31">
        <f t="shared" si="131"/>
        <v>-9278478</v>
      </c>
      <c r="L294" s="31">
        <f t="shared" si="131"/>
        <v>0</v>
      </c>
      <c r="M294" s="31">
        <f t="shared" si="131"/>
        <v>900000</v>
      </c>
      <c r="N294" s="31">
        <f t="shared" si="131"/>
        <v>0</v>
      </c>
      <c r="O294" s="31">
        <f t="shared" si="131"/>
        <v>0</v>
      </c>
      <c r="P294" s="31">
        <f t="shared" si="131"/>
        <v>900000</v>
      </c>
      <c r="Q294" s="43"/>
      <c r="R294" s="43"/>
      <c r="S294" s="44"/>
      <c r="T294" s="44"/>
      <c r="U294" s="44"/>
    </row>
    <row r="295" spans="1:21" s="45" customFormat="1" ht="15" customHeight="1">
      <c r="A295" s="1062"/>
      <c r="B295" s="1063"/>
      <c r="C295" s="42" t="s">
        <v>23</v>
      </c>
      <c r="D295" s="30">
        <f t="shared" ref="D295:P295" si="132">D293+D294</f>
        <v>72906397</v>
      </c>
      <c r="E295" s="31">
        <f t="shared" si="132"/>
        <v>71890097</v>
      </c>
      <c r="F295" s="31">
        <f t="shared" si="132"/>
        <v>11291279</v>
      </c>
      <c r="G295" s="31">
        <f t="shared" si="132"/>
        <v>9055555</v>
      </c>
      <c r="H295" s="31">
        <f t="shared" si="132"/>
        <v>2235724</v>
      </c>
      <c r="I295" s="31">
        <f t="shared" si="132"/>
        <v>269760</v>
      </c>
      <c r="J295" s="31">
        <f t="shared" si="132"/>
        <v>24213</v>
      </c>
      <c r="K295" s="31">
        <f t="shared" si="132"/>
        <v>60304845</v>
      </c>
      <c r="L295" s="31">
        <f t="shared" si="132"/>
        <v>0</v>
      </c>
      <c r="M295" s="31">
        <f t="shared" si="132"/>
        <v>1016300</v>
      </c>
      <c r="N295" s="31">
        <f t="shared" si="132"/>
        <v>116300</v>
      </c>
      <c r="O295" s="31">
        <f t="shared" si="132"/>
        <v>56300</v>
      </c>
      <c r="P295" s="31">
        <f t="shared" si="132"/>
        <v>900000</v>
      </c>
      <c r="Q295" s="43"/>
      <c r="R295" s="43"/>
      <c r="S295" s="44"/>
      <c r="T295" s="44"/>
      <c r="U295" s="44"/>
    </row>
    <row r="296" spans="1:21" s="19" customFormat="1" ht="13.15" customHeight="1">
      <c r="A296" s="1064">
        <v>85311</v>
      </c>
      <c r="B296" s="1065" t="s">
        <v>175</v>
      </c>
      <c r="C296" s="26" t="s">
        <v>21</v>
      </c>
      <c r="D296" s="17">
        <f>E296+M296</f>
        <v>444000</v>
      </c>
      <c r="E296" s="27">
        <f>F296+I296+J296+K296+L296</f>
        <v>444000</v>
      </c>
      <c r="F296" s="27">
        <f>G296+H296</f>
        <v>0</v>
      </c>
      <c r="G296" s="27">
        <v>0</v>
      </c>
      <c r="H296" s="27">
        <v>0</v>
      </c>
      <c r="I296" s="27">
        <v>444000</v>
      </c>
      <c r="J296" s="27">
        <v>0</v>
      </c>
      <c r="K296" s="27">
        <v>0</v>
      </c>
      <c r="L296" s="27">
        <v>0</v>
      </c>
      <c r="M296" s="27">
        <f>N296+P296</f>
        <v>0</v>
      </c>
      <c r="N296" s="27">
        <v>0</v>
      </c>
      <c r="O296" s="27">
        <v>0</v>
      </c>
      <c r="P296" s="27">
        <v>0</v>
      </c>
      <c r="Q296" s="35"/>
      <c r="R296" s="35"/>
      <c r="S296" s="28"/>
      <c r="T296" s="28"/>
      <c r="U296" s="28"/>
    </row>
    <row r="297" spans="1:21" s="19" customFormat="1">
      <c r="A297" s="1064"/>
      <c r="B297" s="1065"/>
      <c r="C297" s="26" t="s">
        <v>22</v>
      </c>
      <c r="D297" s="17">
        <f>E297+M297</f>
        <v>-274240</v>
      </c>
      <c r="E297" s="27">
        <f>F297+I297+J297+K297+L297</f>
        <v>-274240</v>
      </c>
      <c r="F297" s="27">
        <f>G297+H297</f>
        <v>0</v>
      </c>
      <c r="G297" s="27"/>
      <c r="H297" s="27"/>
      <c r="I297" s="27">
        <v>-274240</v>
      </c>
      <c r="J297" s="27"/>
      <c r="K297" s="27"/>
      <c r="L297" s="27"/>
      <c r="M297" s="27">
        <f>N297+P297</f>
        <v>0</v>
      </c>
      <c r="N297" s="27"/>
      <c r="O297" s="27"/>
      <c r="P297" s="27"/>
      <c r="Q297" s="35"/>
      <c r="R297" s="35"/>
      <c r="S297" s="28"/>
      <c r="T297" s="28"/>
      <c r="U297" s="28"/>
    </row>
    <row r="298" spans="1:21" s="19" customFormat="1">
      <c r="A298" s="1064"/>
      <c r="B298" s="1065"/>
      <c r="C298" s="26" t="s">
        <v>23</v>
      </c>
      <c r="D298" s="17">
        <f t="shared" ref="D298:P298" si="133">D296+D297</f>
        <v>169760</v>
      </c>
      <c r="E298" s="27">
        <f t="shared" si="133"/>
        <v>169760</v>
      </c>
      <c r="F298" s="27">
        <f t="shared" si="133"/>
        <v>0</v>
      </c>
      <c r="G298" s="27">
        <f t="shared" si="133"/>
        <v>0</v>
      </c>
      <c r="H298" s="27">
        <f t="shared" si="133"/>
        <v>0</v>
      </c>
      <c r="I298" s="27">
        <f t="shared" si="133"/>
        <v>169760</v>
      </c>
      <c r="J298" s="27">
        <f t="shared" si="133"/>
        <v>0</v>
      </c>
      <c r="K298" s="27">
        <f t="shared" si="133"/>
        <v>0</v>
      </c>
      <c r="L298" s="27">
        <f t="shared" si="133"/>
        <v>0</v>
      </c>
      <c r="M298" s="27">
        <f t="shared" si="133"/>
        <v>0</v>
      </c>
      <c r="N298" s="27">
        <f t="shared" si="133"/>
        <v>0</v>
      </c>
      <c r="O298" s="27">
        <f t="shared" si="133"/>
        <v>0</v>
      </c>
      <c r="P298" s="27">
        <f t="shared" si="133"/>
        <v>0</v>
      </c>
      <c r="Q298" s="35"/>
      <c r="R298" s="35"/>
      <c r="S298" s="28"/>
      <c r="T298" s="28"/>
      <c r="U298" s="28"/>
    </row>
    <row r="299" spans="1:21" s="19" customFormat="1" ht="13.15" hidden="1" customHeight="1">
      <c r="A299" s="1064">
        <v>85324</v>
      </c>
      <c r="B299" s="1065" t="s">
        <v>176</v>
      </c>
      <c r="C299" s="26" t="s">
        <v>21</v>
      </c>
      <c r="D299" s="17">
        <f>E299+M299</f>
        <v>372882</v>
      </c>
      <c r="E299" s="27">
        <f>F299+I299+J299+K299+L299</f>
        <v>372882</v>
      </c>
      <c r="F299" s="27">
        <f>G299+H299</f>
        <v>372882</v>
      </c>
      <c r="G299" s="27">
        <v>331597</v>
      </c>
      <c r="H299" s="27">
        <v>41285</v>
      </c>
      <c r="I299" s="27">
        <v>0</v>
      </c>
      <c r="J299" s="27">
        <v>0</v>
      </c>
      <c r="K299" s="27">
        <v>0</v>
      </c>
      <c r="L299" s="27">
        <v>0</v>
      </c>
      <c r="M299" s="27">
        <f>N299+P299</f>
        <v>0</v>
      </c>
      <c r="N299" s="27">
        <v>0</v>
      </c>
      <c r="O299" s="27">
        <v>0</v>
      </c>
      <c r="P299" s="27">
        <v>0</v>
      </c>
      <c r="Q299" s="35"/>
      <c r="R299" s="35"/>
      <c r="S299" s="28"/>
      <c r="T299" s="28"/>
      <c r="U299" s="28"/>
    </row>
    <row r="300" spans="1:21" s="19" customFormat="1" hidden="1">
      <c r="A300" s="1064"/>
      <c r="B300" s="1065"/>
      <c r="C300" s="26" t="s">
        <v>22</v>
      </c>
      <c r="D300" s="17">
        <f>E300+M300</f>
        <v>0</v>
      </c>
      <c r="E300" s="27">
        <f>F300+I300+J300+K300+L300</f>
        <v>0</v>
      </c>
      <c r="F300" s="27">
        <f>G300+H300</f>
        <v>0</v>
      </c>
      <c r="G300" s="27"/>
      <c r="H300" s="27"/>
      <c r="I300" s="27"/>
      <c r="J300" s="27"/>
      <c r="K300" s="27"/>
      <c r="L300" s="27"/>
      <c r="M300" s="27">
        <f>N300+P300</f>
        <v>0</v>
      </c>
      <c r="N300" s="27"/>
      <c r="O300" s="27"/>
      <c r="P300" s="27"/>
      <c r="Q300" s="35"/>
      <c r="R300" s="35"/>
      <c r="S300" s="28"/>
      <c r="T300" s="28"/>
      <c r="U300" s="28"/>
    </row>
    <row r="301" spans="1:21" s="19" customFormat="1" hidden="1">
      <c r="A301" s="1064"/>
      <c r="B301" s="1065"/>
      <c r="C301" s="26" t="s">
        <v>23</v>
      </c>
      <c r="D301" s="17">
        <f t="shared" ref="D301:P301" si="134">D299+D300</f>
        <v>372882</v>
      </c>
      <c r="E301" s="27">
        <f t="shared" si="134"/>
        <v>372882</v>
      </c>
      <c r="F301" s="27">
        <f t="shared" si="134"/>
        <v>372882</v>
      </c>
      <c r="G301" s="27">
        <f t="shared" si="134"/>
        <v>331597</v>
      </c>
      <c r="H301" s="27">
        <f t="shared" si="134"/>
        <v>41285</v>
      </c>
      <c r="I301" s="27">
        <f t="shared" si="134"/>
        <v>0</v>
      </c>
      <c r="J301" s="27">
        <f t="shared" si="134"/>
        <v>0</v>
      </c>
      <c r="K301" s="27">
        <f t="shared" si="134"/>
        <v>0</v>
      </c>
      <c r="L301" s="27">
        <f t="shared" si="134"/>
        <v>0</v>
      </c>
      <c r="M301" s="27">
        <f t="shared" si="134"/>
        <v>0</v>
      </c>
      <c r="N301" s="27">
        <f t="shared" si="134"/>
        <v>0</v>
      </c>
      <c r="O301" s="27">
        <f t="shared" si="134"/>
        <v>0</v>
      </c>
      <c r="P301" s="27">
        <f t="shared" si="134"/>
        <v>0</v>
      </c>
      <c r="Q301" s="35"/>
      <c r="R301" s="35"/>
      <c r="S301" s="28"/>
      <c r="T301" s="28"/>
      <c r="U301" s="28"/>
    </row>
    <row r="302" spans="1:21" s="19" customFormat="1" ht="13.15" customHeight="1">
      <c r="A302" s="1064">
        <v>85325</v>
      </c>
      <c r="B302" s="1065" t="s">
        <v>177</v>
      </c>
      <c r="C302" s="26" t="s">
        <v>21</v>
      </c>
      <c r="D302" s="17">
        <f>E302+M302</f>
        <v>2005400</v>
      </c>
      <c r="E302" s="27">
        <f>F302+I302+J302+K302+L302</f>
        <v>2005400</v>
      </c>
      <c r="F302" s="27">
        <f>G302+H302</f>
        <v>2003400</v>
      </c>
      <c r="G302" s="27">
        <v>1616400</v>
      </c>
      <c r="H302" s="27">
        <v>387000</v>
      </c>
      <c r="I302" s="27">
        <v>0</v>
      </c>
      <c r="J302" s="27">
        <v>2000</v>
      </c>
      <c r="K302" s="27">
        <v>0</v>
      </c>
      <c r="L302" s="27">
        <v>0</v>
      </c>
      <c r="M302" s="27">
        <f>N302+P302</f>
        <v>0</v>
      </c>
      <c r="N302" s="27">
        <v>0</v>
      </c>
      <c r="O302" s="27">
        <v>0</v>
      </c>
      <c r="P302" s="27">
        <v>0</v>
      </c>
      <c r="Q302" s="35"/>
      <c r="R302" s="35"/>
      <c r="S302" s="28"/>
      <c r="T302" s="28"/>
      <c r="U302" s="28"/>
    </row>
    <row r="303" spans="1:21" s="19" customFormat="1">
      <c r="A303" s="1064"/>
      <c r="B303" s="1065"/>
      <c r="C303" s="26" t="s">
        <v>22</v>
      </c>
      <c r="D303" s="17">
        <f>E303+M303</f>
        <v>25900</v>
      </c>
      <c r="E303" s="27">
        <f>F303+I303+J303+K303+L303</f>
        <v>25900</v>
      </c>
      <c r="F303" s="27">
        <f>G303+H303</f>
        <v>25900</v>
      </c>
      <c r="G303" s="27">
        <v>25900</v>
      </c>
      <c r="H303" s="27"/>
      <c r="I303" s="27"/>
      <c r="J303" s="27"/>
      <c r="K303" s="27"/>
      <c r="L303" s="27"/>
      <c r="M303" s="27">
        <f>N303+P303</f>
        <v>0</v>
      </c>
      <c r="N303" s="27"/>
      <c r="O303" s="27"/>
      <c r="P303" s="27"/>
      <c r="Q303" s="35"/>
      <c r="R303" s="35"/>
      <c r="S303" s="28"/>
      <c r="T303" s="28"/>
      <c r="U303" s="28"/>
    </row>
    <row r="304" spans="1:21" s="19" customFormat="1">
      <c r="A304" s="1064"/>
      <c r="B304" s="1065"/>
      <c r="C304" s="26" t="s">
        <v>23</v>
      </c>
      <c r="D304" s="17">
        <f t="shared" ref="D304:P304" si="135">D302+D303</f>
        <v>2031300</v>
      </c>
      <c r="E304" s="27">
        <f t="shared" si="135"/>
        <v>2031300</v>
      </c>
      <c r="F304" s="27">
        <f t="shared" si="135"/>
        <v>2029300</v>
      </c>
      <c r="G304" s="27">
        <f t="shared" si="135"/>
        <v>1642300</v>
      </c>
      <c r="H304" s="27">
        <f t="shared" si="135"/>
        <v>387000</v>
      </c>
      <c r="I304" s="27">
        <f t="shared" si="135"/>
        <v>0</v>
      </c>
      <c r="J304" s="27">
        <f t="shared" si="135"/>
        <v>2000</v>
      </c>
      <c r="K304" s="27">
        <f t="shared" si="135"/>
        <v>0</v>
      </c>
      <c r="L304" s="27">
        <f t="shared" si="135"/>
        <v>0</v>
      </c>
      <c r="M304" s="27">
        <f t="shared" si="135"/>
        <v>0</v>
      </c>
      <c r="N304" s="27">
        <f t="shared" si="135"/>
        <v>0</v>
      </c>
      <c r="O304" s="27">
        <f t="shared" si="135"/>
        <v>0</v>
      </c>
      <c r="P304" s="27">
        <f t="shared" si="135"/>
        <v>0</v>
      </c>
      <c r="Q304" s="35"/>
      <c r="R304" s="35"/>
      <c r="S304" s="28"/>
      <c r="T304" s="28"/>
      <c r="U304" s="28"/>
    </row>
    <row r="305" spans="1:21" s="57" customFormat="1" ht="15" hidden="1" customHeight="1">
      <c r="A305" s="1064">
        <v>85332</v>
      </c>
      <c r="B305" s="1065" t="s">
        <v>178</v>
      </c>
      <c r="C305" s="26" t="s">
        <v>21</v>
      </c>
      <c r="D305" s="17">
        <f>E305+M305</f>
        <v>17598912</v>
      </c>
      <c r="E305" s="27">
        <f>F305+I305+J305+K305+L305</f>
        <v>17482612</v>
      </c>
      <c r="F305" s="27">
        <f>G305+H305</f>
        <v>8726597</v>
      </c>
      <c r="G305" s="27">
        <v>7081658</v>
      </c>
      <c r="H305" s="27">
        <v>1644939</v>
      </c>
      <c r="I305" s="27">
        <v>0</v>
      </c>
      <c r="J305" s="27">
        <v>22213</v>
      </c>
      <c r="K305" s="27">
        <v>8733802</v>
      </c>
      <c r="L305" s="27">
        <v>0</v>
      </c>
      <c r="M305" s="27">
        <f>N305+P305</f>
        <v>116300</v>
      </c>
      <c r="N305" s="27">
        <v>116300</v>
      </c>
      <c r="O305" s="27">
        <v>56300</v>
      </c>
      <c r="P305" s="27">
        <v>0</v>
      </c>
      <c r="Q305" s="55"/>
      <c r="R305" s="55"/>
      <c r="S305" s="56"/>
      <c r="T305" s="56"/>
      <c r="U305" s="56"/>
    </row>
    <row r="306" spans="1:21" s="57" customFormat="1" ht="15" hidden="1" customHeight="1">
      <c r="A306" s="1064"/>
      <c r="B306" s="1065"/>
      <c r="C306" s="26" t="s">
        <v>22</v>
      </c>
      <c r="D306" s="17">
        <f>E306+M306</f>
        <v>0</v>
      </c>
      <c r="E306" s="27">
        <f>F306+I306+J306+K306+L306</f>
        <v>0</v>
      </c>
      <c r="F306" s="27">
        <f>G306+H306</f>
        <v>0</v>
      </c>
      <c r="G306" s="27"/>
      <c r="H306" s="27"/>
      <c r="I306" s="27"/>
      <c r="J306" s="27"/>
      <c r="K306" s="27"/>
      <c r="L306" s="27"/>
      <c r="M306" s="27">
        <f>N306+P306</f>
        <v>0</v>
      </c>
      <c r="N306" s="27"/>
      <c r="O306" s="27"/>
      <c r="P306" s="27"/>
      <c r="Q306" s="55"/>
      <c r="R306" s="55"/>
      <c r="S306" s="56"/>
      <c r="T306" s="56"/>
      <c r="U306" s="56"/>
    </row>
    <row r="307" spans="1:21" s="57" customFormat="1" ht="15" hidden="1" customHeight="1">
      <c r="A307" s="1064"/>
      <c r="B307" s="1065"/>
      <c r="C307" s="26" t="s">
        <v>23</v>
      </c>
      <c r="D307" s="17">
        <f t="shared" ref="D307:P307" si="136">D305+D306</f>
        <v>17598912</v>
      </c>
      <c r="E307" s="27">
        <f t="shared" si="136"/>
        <v>17482612</v>
      </c>
      <c r="F307" s="27">
        <f t="shared" si="136"/>
        <v>8726597</v>
      </c>
      <c r="G307" s="27">
        <f t="shared" si="136"/>
        <v>7081658</v>
      </c>
      <c r="H307" s="27">
        <f t="shared" si="136"/>
        <v>1644939</v>
      </c>
      <c r="I307" s="27">
        <f t="shared" si="136"/>
        <v>0</v>
      </c>
      <c r="J307" s="27">
        <f t="shared" si="136"/>
        <v>22213</v>
      </c>
      <c r="K307" s="27">
        <f t="shared" si="136"/>
        <v>8733802</v>
      </c>
      <c r="L307" s="27">
        <f t="shared" si="136"/>
        <v>0</v>
      </c>
      <c r="M307" s="27">
        <f t="shared" si="136"/>
        <v>116300</v>
      </c>
      <c r="N307" s="27">
        <f t="shared" si="136"/>
        <v>116300</v>
      </c>
      <c r="O307" s="27">
        <f t="shared" si="136"/>
        <v>56300</v>
      </c>
      <c r="P307" s="27">
        <f t="shared" si="136"/>
        <v>0</v>
      </c>
      <c r="Q307" s="55"/>
      <c r="R307" s="55"/>
      <c r="S307" s="56"/>
      <c r="T307" s="56"/>
      <c r="U307" s="56"/>
    </row>
    <row r="308" spans="1:21" s="57" customFormat="1" ht="13.15" customHeight="1">
      <c r="A308" s="1064">
        <v>85395</v>
      </c>
      <c r="B308" s="1065" t="s">
        <v>37</v>
      </c>
      <c r="C308" s="26" t="s">
        <v>21</v>
      </c>
      <c r="D308" s="17">
        <f>E308+M308</f>
        <v>61112021</v>
      </c>
      <c r="E308" s="27">
        <f>F308+I308+J308+K308+L308</f>
        <v>61112021</v>
      </c>
      <c r="F308" s="27">
        <f>G308+H308</f>
        <v>162500</v>
      </c>
      <c r="G308" s="27">
        <v>0</v>
      </c>
      <c r="H308" s="27">
        <v>162500</v>
      </c>
      <c r="I308" s="27">
        <v>100000</v>
      </c>
      <c r="J308" s="27">
        <v>0</v>
      </c>
      <c r="K308" s="27">
        <v>60849521</v>
      </c>
      <c r="L308" s="27">
        <v>0</v>
      </c>
      <c r="M308" s="27">
        <f>N308+P308</f>
        <v>0</v>
      </c>
      <c r="N308" s="27">
        <v>0</v>
      </c>
      <c r="O308" s="27">
        <v>0</v>
      </c>
      <c r="P308" s="27">
        <v>0</v>
      </c>
      <c r="Q308" s="55"/>
      <c r="R308" s="55"/>
      <c r="S308" s="56"/>
      <c r="T308" s="56"/>
      <c r="U308" s="56"/>
    </row>
    <row r="309" spans="1:21" s="57" customFormat="1">
      <c r="A309" s="1064"/>
      <c r="B309" s="1065"/>
      <c r="C309" s="26" t="s">
        <v>22</v>
      </c>
      <c r="D309" s="17">
        <f>E309+M309</f>
        <v>-8378478</v>
      </c>
      <c r="E309" s="27">
        <f>F309+I309+J309+K309+L309</f>
        <v>-9278478</v>
      </c>
      <c r="F309" s="27">
        <f>G309+H309</f>
        <v>0</v>
      </c>
      <c r="G309" s="27"/>
      <c r="H309" s="27"/>
      <c r="I309" s="27"/>
      <c r="J309" s="27"/>
      <c r="K309" s="27">
        <v>-9278478</v>
      </c>
      <c r="L309" s="27"/>
      <c r="M309" s="27">
        <f>N309+P309</f>
        <v>900000</v>
      </c>
      <c r="N309" s="27"/>
      <c r="O309" s="27"/>
      <c r="P309" s="27">
        <v>900000</v>
      </c>
      <c r="Q309" s="55"/>
      <c r="R309" s="55"/>
      <c r="S309" s="56"/>
      <c r="T309" s="56"/>
      <c r="U309" s="56"/>
    </row>
    <row r="310" spans="1:21" s="57" customFormat="1">
      <c r="A310" s="1064"/>
      <c r="B310" s="1065"/>
      <c r="C310" s="26" t="s">
        <v>23</v>
      </c>
      <c r="D310" s="17">
        <f t="shared" ref="D310:P310" si="137">D308+D309</f>
        <v>52733543</v>
      </c>
      <c r="E310" s="27">
        <f t="shared" si="137"/>
        <v>51833543</v>
      </c>
      <c r="F310" s="27">
        <f t="shared" si="137"/>
        <v>162500</v>
      </c>
      <c r="G310" s="27">
        <f t="shared" si="137"/>
        <v>0</v>
      </c>
      <c r="H310" s="27">
        <f t="shared" si="137"/>
        <v>162500</v>
      </c>
      <c r="I310" s="27">
        <f t="shared" si="137"/>
        <v>100000</v>
      </c>
      <c r="J310" s="27">
        <f t="shared" si="137"/>
        <v>0</v>
      </c>
      <c r="K310" s="27">
        <f t="shared" si="137"/>
        <v>51571043</v>
      </c>
      <c r="L310" s="27">
        <f t="shared" si="137"/>
        <v>0</v>
      </c>
      <c r="M310" s="27">
        <f t="shared" si="137"/>
        <v>900000</v>
      </c>
      <c r="N310" s="27">
        <f t="shared" si="137"/>
        <v>0</v>
      </c>
      <c r="O310" s="27">
        <f t="shared" si="137"/>
        <v>0</v>
      </c>
      <c r="P310" s="27">
        <f t="shared" si="137"/>
        <v>900000</v>
      </c>
      <c r="Q310" s="55"/>
      <c r="R310" s="55"/>
      <c r="S310" s="56"/>
      <c r="T310" s="56"/>
      <c r="U310" s="56"/>
    </row>
    <row r="311" spans="1:21" s="45" customFormat="1" ht="18" customHeight="1">
      <c r="A311" s="1062">
        <v>854</v>
      </c>
      <c r="B311" s="1063" t="s">
        <v>179</v>
      </c>
      <c r="C311" s="42" t="s">
        <v>21</v>
      </c>
      <c r="D311" s="30">
        <f t="shared" ref="D311:P311" si="138">D314+D320+D323+D326+D332+D335+D317+D329</f>
        <v>57936013</v>
      </c>
      <c r="E311" s="31">
        <f t="shared" si="138"/>
        <v>32553441</v>
      </c>
      <c r="F311" s="31">
        <f t="shared" si="138"/>
        <v>26260968</v>
      </c>
      <c r="G311" s="31">
        <f t="shared" si="138"/>
        <v>22380869</v>
      </c>
      <c r="H311" s="31">
        <f t="shared" si="138"/>
        <v>3880099</v>
      </c>
      <c r="I311" s="31">
        <f t="shared" si="138"/>
        <v>219000</v>
      </c>
      <c r="J311" s="31">
        <f t="shared" si="138"/>
        <v>111277</v>
      </c>
      <c r="K311" s="31">
        <f t="shared" si="138"/>
        <v>5962196</v>
      </c>
      <c r="L311" s="31">
        <f t="shared" si="138"/>
        <v>0</v>
      </c>
      <c r="M311" s="31">
        <f t="shared" si="138"/>
        <v>25382572</v>
      </c>
      <c r="N311" s="31">
        <f t="shared" si="138"/>
        <v>25382572</v>
      </c>
      <c r="O311" s="31">
        <f t="shared" si="138"/>
        <v>14079497</v>
      </c>
      <c r="P311" s="31">
        <f t="shared" si="138"/>
        <v>0</v>
      </c>
      <c r="Q311" s="43"/>
      <c r="R311" s="43"/>
      <c r="S311" s="44"/>
      <c r="T311" s="44"/>
      <c r="U311" s="44"/>
    </row>
    <row r="312" spans="1:21" s="45" customFormat="1" ht="18" customHeight="1">
      <c r="A312" s="1062"/>
      <c r="B312" s="1063"/>
      <c r="C312" s="42" t="s">
        <v>22</v>
      </c>
      <c r="D312" s="30">
        <f t="shared" ref="D312:P312" si="139">D315+D321+D324+D327+D333+D336+D318+D330</f>
        <v>-1853238</v>
      </c>
      <c r="E312" s="31">
        <f t="shared" si="139"/>
        <v>-1768238</v>
      </c>
      <c r="F312" s="31">
        <f t="shared" si="139"/>
        <v>-1840238</v>
      </c>
      <c r="G312" s="31">
        <f t="shared" si="139"/>
        <v>-1749555</v>
      </c>
      <c r="H312" s="31">
        <f t="shared" si="139"/>
        <v>-90683</v>
      </c>
      <c r="I312" s="31">
        <f t="shared" si="139"/>
        <v>0</v>
      </c>
      <c r="J312" s="31">
        <f t="shared" si="139"/>
        <v>72000</v>
      </c>
      <c r="K312" s="31">
        <f t="shared" si="139"/>
        <v>0</v>
      </c>
      <c r="L312" s="31">
        <f t="shared" si="139"/>
        <v>0</v>
      </c>
      <c r="M312" s="31">
        <f t="shared" si="139"/>
        <v>-85000</v>
      </c>
      <c r="N312" s="31">
        <f t="shared" si="139"/>
        <v>-85000</v>
      </c>
      <c r="O312" s="31">
        <f t="shared" si="139"/>
        <v>0</v>
      </c>
      <c r="P312" s="31">
        <f t="shared" si="139"/>
        <v>0</v>
      </c>
      <c r="Q312" s="43"/>
      <c r="R312" s="43"/>
      <c r="S312" s="44"/>
      <c r="T312" s="44"/>
      <c r="U312" s="44"/>
    </row>
    <row r="313" spans="1:21" s="45" customFormat="1" ht="18" customHeight="1">
      <c r="A313" s="1062"/>
      <c r="B313" s="1063"/>
      <c r="C313" s="42" t="s">
        <v>23</v>
      </c>
      <c r="D313" s="30">
        <f t="shared" ref="D313:P313" si="140">D311+D312</f>
        <v>56082775</v>
      </c>
      <c r="E313" s="31">
        <f t="shared" si="140"/>
        <v>30785203</v>
      </c>
      <c r="F313" s="31">
        <f t="shared" si="140"/>
        <v>24420730</v>
      </c>
      <c r="G313" s="31">
        <f t="shared" si="140"/>
        <v>20631314</v>
      </c>
      <c r="H313" s="31">
        <f t="shared" si="140"/>
        <v>3789416</v>
      </c>
      <c r="I313" s="31">
        <f t="shared" si="140"/>
        <v>219000</v>
      </c>
      <c r="J313" s="31">
        <f t="shared" si="140"/>
        <v>183277</v>
      </c>
      <c r="K313" s="31">
        <f t="shared" si="140"/>
        <v>5962196</v>
      </c>
      <c r="L313" s="31">
        <f t="shared" si="140"/>
        <v>0</v>
      </c>
      <c r="M313" s="31">
        <f t="shared" si="140"/>
        <v>25297572</v>
      </c>
      <c r="N313" s="31">
        <f t="shared" si="140"/>
        <v>25297572</v>
      </c>
      <c r="O313" s="31">
        <f t="shared" si="140"/>
        <v>14079497</v>
      </c>
      <c r="P313" s="31">
        <f t="shared" si="140"/>
        <v>0</v>
      </c>
      <c r="Q313" s="43"/>
      <c r="R313" s="43"/>
      <c r="S313" s="44"/>
      <c r="T313" s="44"/>
      <c r="U313" s="44"/>
    </row>
    <row r="314" spans="1:21" s="57" customFormat="1" ht="13.15" customHeight="1">
      <c r="A314" s="1064">
        <v>85403</v>
      </c>
      <c r="B314" s="1065" t="s">
        <v>180</v>
      </c>
      <c r="C314" s="26" t="s">
        <v>21</v>
      </c>
      <c r="D314" s="17">
        <f>E314+M314</f>
        <v>44870550</v>
      </c>
      <c r="E314" s="27">
        <f>F314+I314+J314+K314+L314</f>
        <v>19565267</v>
      </c>
      <c r="F314" s="27">
        <f>G314+H314</f>
        <v>18848942</v>
      </c>
      <c r="G314" s="27">
        <v>15902567</v>
      </c>
      <c r="H314" s="27">
        <v>2946375</v>
      </c>
      <c r="I314" s="27">
        <v>0</v>
      </c>
      <c r="J314" s="27">
        <v>44429</v>
      </c>
      <c r="K314" s="27">
        <v>671896</v>
      </c>
      <c r="L314" s="27">
        <v>0</v>
      </c>
      <c r="M314" s="27">
        <f>N314+P314</f>
        <v>25305283</v>
      </c>
      <c r="N314" s="27">
        <v>25305283</v>
      </c>
      <c r="O314" s="27">
        <v>14079497</v>
      </c>
      <c r="P314" s="27">
        <v>0</v>
      </c>
      <c r="Q314" s="55"/>
      <c r="R314" s="55"/>
      <c r="S314" s="56"/>
      <c r="T314" s="56"/>
      <c r="U314" s="56"/>
    </row>
    <row r="315" spans="1:21" s="57" customFormat="1">
      <c r="A315" s="1064"/>
      <c r="B315" s="1065"/>
      <c r="C315" s="26" t="s">
        <v>22</v>
      </c>
      <c r="D315" s="17">
        <f>E315+M315</f>
        <v>-1336615</v>
      </c>
      <c r="E315" s="27">
        <f>F315+I315+J315+K315+L315</f>
        <v>-1251615</v>
      </c>
      <c r="F315" s="27">
        <f>G315+H315</f>
        <v>-1300615</v>
      </c>
      <c r="G315" s="27">
        <v>-1268875</v>
      </c>
      <c r="H315" s="27">
        <v>-31740</v>
      </c>
      <c r="I315" s="27"/>
      <c r="J315" s="27">
        <v>49000</v>
      </c>
      <c r="K315" s="27"/>
      <c r="L315" s="27"/>
      <c r="M315" s="27">
        <f>N315+P315</f>
        <v>-85000</v>
      </c>
      <c r="N315" s="27">
        <v>-85000</v>
      </c>
      <c r="O315" s="27"/>
      <c r="P315" s="27"/>
      <c r="Q315" s="55"/>
      <c r="R315" s="55"/>
      <c r="S315" s="56"/>
      <c r="T315" s="56"/>
      <c r="U315" s="56"/>
    </row>
    <row r="316" spans="1:21" s="57" customFormat="1">
      <c r="A316" s="1064"/>
      <c r="B316" s="1065"/>
      <c r="C316" s="26" t="s">
        <v>23</v>
      </c>
      <c r="D316" s="17">
        <f t="shared" ref="D316:P316" si="141">D314+D315</f>
        <v>43533935</v>
      </c>
      <c r="E316" s="27">
        <f t="shared" si="141"/>
        <v>18313652</v>
      </c>
      <c r="F316" s="27">
        <f t="shared" si="141"/>
        <v>17548327</v>
      </c>
      <c r="G316" s="27">
        <f t="shared" si="141"/>
        <v>14633692</v>
      </c>
      <c r="H316" s="27">
        <f t="shared" si="141"/>
        <v>2914635</v>
      </c>
      <c r="I316" s="27">
        <f t="shared" si="141"/>
        <v>0</v>
      </c>
      <c r="J316" s="27">
        <f t="shared" si="141"/>
        <v>93429</v>
      </c>
      <c r="K316" s="27">
        <f t="shared" si="141"/>
        <v>671896</v>
      </c>
      <c r="L316" s="27">
        <f t="shared" si="141"/>
        <v>0</v>
      </c>
      <c r="M316" s="27">
        <f t="shared" si="141"/>
        <v>25220283</v>
      </c>
      <c r="N316" s="27">
        <f t="shared" si="141"/>
        <v>25220283</v>
      </c>
      <c r="O316" s="27">
        <f t="shared" si="141"/>
        <v>14079497</v>
      </c>
      <c r="P316" s="27">
        <f t="shared" si="141"/>
        <v>0</v>
      </c>
      <c r="Q316" s="55"/>
      <c r="R316" s="55"/>
      <c r="S316" s="56"/>
      <c r="T316" s="56"/>
      <c r="U316" s="56"/>
    </row>
    <row r="317" spans="1:21" s="57" customFormat="1" ht="13.15" customHeight="1">
      <c r="A317" s="1064">
        <v>85404</v>
      </c>
      <c r="B317" s="1065" t="s">
        <v>181</v>
      </c>
      <c r="C317" s="26" t="s">
        <v>21</v>
      </c>
      <c r="D317" s="17">
        <f>E317+M317</f>
        <v>1403848</v>
      </c>
      <c r="E317" s="27">
        <f>F317+I317+J317+K317+L317</f>
        <v>1403848</v>
      </c>
      <c r="F317" s="27">
        <f>G317+H317</f>
        <v>1399043</v>
      </c>
      <c r="G317" s="27">
        <v>1294858</v>
      </c>
      <c r="H317" s="27">
        <v>104185</v>
      </c>
      <c r="I317" s="27">
        <v>0</v>
      </c>
      <c r="J317" s="27">
        <v>4805</v>
      </c>
      <c r="K317" s="27">
        <v>0</v>
      </c>
      <c r="L317" s="27">
        <v>0</v>
      </c>
      <c r="M317" s="27">
        <f>N317+P317</f>
        <v>0</v>
      </c>
      <c r="N317" s="27">
        <v>0</v>
      </c>
      <c r="O317" s="27">
        <v>0</v>
      </c>
      <c r="P317" s="27">
        <v>0</v>
      </c>
      <c r="Q317" s="55"/>
      <c r="R317" s="55"/>
      <c r="S317" s="56"/>
      <c r="T317" s="56"/>
      <c r="U317" s="56"/>
    </row>
    <row r="318" spans="1:21" s="57" customFormat="1">
      <c r="A318" s="1064"/>
      <c r="B318" s="1065"/>
      <c r="C318" s="26" t="s">
        <v>22</v>
      </c>
      <c r="D318" s="17">
        <f>E318+M318</f>
        <v>-177889</v>
      </c>
      <c r="E318" s="27">
        <f>F318+I318+J318+K318+L318</f>
        <v>-177889</v>
      </c>
      <c r="F318" s="27">
        <f>G318+H318</f>
        <v>-180889</v>
      </c>
      <c r="G318" s="27">
        <f>-130223-11500-32117-7049</f>
        <v>-180889</v>
      </c>
      <c r="H318" s="27"/>
      <c r="I318" s="27"/>
      <c r="J318" s="27">
        <v>3000</v>
      </c>
      <c r="K318" s="27"/>
      <c r="L318" s="27"/>
      <c r="M318" s="27">
        <f>N318+P318</f>
        <v>0</v>
      </c>
      <c r="N318" s="27"/>
      <c r="O318" s="27"/>
      <c r="P318" s="27"/>
      <c r="Q318" s="55"/>
      <c r="R318" s="55"/>
      <c r="S318" s="56"/>
      <c r="T318" s="56"/>
      <c r="U318" s="56"/>
    </row>
    <row r="319" spans="1:21" s="57" customFormat="1">
      <c r="A319" s="1064"/>
      <c r="B319" s="1065"/>
      <c r="C319" s="26" t="s">
        <v>23</v>
      </c>
      <c r="D319" s="17">
        <f t="shared" ref="D319:P319" si="142">D317+D318</f>
        <v>1225959</v>
      </c>
      <c r="E319" s="27">
        <f t="shared" si="142"/>
        <v>1225959</v>
      </c>
      <c r="F319" s="27">
        <f t="shared" si="142"/>
        <v>1218154</v>
      </c>
      <c r="G319" s="27">
        <f t="shared" si="142"/>
        <v>1113969</v>
      </c>
      <c r="H319" s="27">
        <f t="shared" si="142"/>
        <v>104185</v>
      </c>
      <c r="I319" s="27">
        <f t="shared" si="142"/>
        <v>0</v>
      </c>
      <c r="J319" s="27">
        <f t="shared" si="142"/>
        <v>7805</v>
      </c>
      <c r="K319" s="27">
        <f t="shared" si="142"/>
        <v>0</v>
      </c>
      <c r="L319" s="27">
        <f t="shared" si="142"/>
        <v>0</v>
      </c>
      <c r="M319" s="27">
        <f t="shared" si="142"/>
        <v>0</v>
      </c>
      <c r="N319" s="27">
        <f t="shared" si="142"/>
        <v>0</v>
      </c>
      <c r="O319" s="27">
        <f t="shared" si="142"/>
        <v>0</v>
      </c>
      <c r="P319" s="27">
        <f t="shared" si="142"/>
        <v>0</v>
      </c>
      <c r="Q319" s="55"/>
      <c r="R319" s="55"/>
      <c r="S319" s="56"/>
      <c r="T319" s="56"/>
      <c r="U319" s="56"/>
    </row>
    <row r="320" spans="1:21" s="57" customFormat="1" ht="13.15" customHeight="1">
      <c r="A320" s="1064">
        <v>85407</v>
      </c>
      <c r="B320" s="1065" t="s">
        <v>182</v>
      </c>
      <c r="C320" s="26" t="s">
        <v>21</v>
      </c>
      <c r="D320" s="17">
        <f>E320+M320</f>
        <v>4087598</v>
      </c>
      <c r="E320" s="27">
        <f>F320+I320+J320+K320+L320</f>
        <v>4087598</v>
      </c>
      <c r="F320" s="27">
        <f>G320+H320</f>
        <v>4076735</v>
      </c>
      <c r="G320" s="27">
        <v>3922438</v>
      </c>
      <c r="H320" s="27">
        <v>154297</v>
      </c>
      <c r="I320" s="27">
        <v>0</v>
      </c>
      <c r="J320" s="27">
        <v>10863</v>
      </c>
      <c r="K320" s="27">
        <v>0</v>
      </c>
      <c r="L320" s="27">
        <v>0</v>
      </c>
      <c r="M320" s="27">
        <f>N320+P320</f>
        <v>0</v>
      </c>
      <c r="N320" s="27">
        <v>0</v>
      </c>
      <c r="O320" s="27">
        <v>0</v>
      </c>
      <c r="P320" s="27">
        <v>0</v>
      </c>
      <c r="Q320" s="55"/>
      <c r="R320" s="55"/>
      <c r="S320" s="56"/>
      <c r="T320" s="56"/>
      <c r="U320" s="56"/>
    </row>
    <row r="321" spans="1:21" s="57" customFormat="1">
      <c r="A321" s="1064"/>
      <c r="B321" s="1065"/>
      <c r="C321" s="26" t="s">
        <v>22</v>
      </c>
      <c r="D321" s="17">
        <f>E321+M321</f>
        <v>-188942</v>
      </c>
      <c r="E321" s="27">
        <f>F321+I321+J321+K321+L321</f>
        <v>-188942</v>
      </c>
      <c r="F321" s="27">
        <f>G321+H321</f>
        <v>-205442</v>
      </c>
      <c r="G321" s="27">
        <v>-205442</v>
      </c>
      <c r="H321" s="27"/>
      <c r="I321" s="27"/>
      <c r="J321" s="27">
        <v>16500</v>
      </c>
      <c r="K321" s="27"/>
      <c r="L321" s="27"/>
      <c r="M321" s="27">
        <f>N321+P321</f>
        <v>0</v>
      </c>
      <c r="N321" s="27"/>
      <c r="O321" s="27"/>
      <c r="P321" s="27"/>
      <c r="Q321" s="55"/>
      <c r="R321" s="55"/>
      <c r="S321" s="56"/>
      <c r="T321" s="56"/>
      <c r="U321" s="56"/>
    </row>
    <row r="322" spans="1:21" s="57" customFormat="1">
      <c r="A322" s="1064"/>
      <c r="B322" s="1065"/>
      <c r="C322" s="26" t="s">
        <v>23</v>
      </c>
      <c r="D322" s="17">
        <f t="shared" ref="D322:P322" si="143">D320+D321</f>
        <v>3898656</v>
      </c>
      <c r="E322" s="27">
        <f t="shared" si="143"/>
        <v>3898656</v>
      </c>
      <c r="F322" s="27">
        <f t="shared" si="143"/>
        <v>3871293</v>
      </c>
      <c r="G322" s="27">
        <f t="shared" si="143"/>
        <v>3716996</v>
      </c>
      <c r="H322" s="27">
        <f t="shared" si="143"/>
        <v>154297</v>
      </c>
      <c r="I322" s="27">
        <f t="shared" si="143"/>
        <v>0</v>
      </c>
      <c r="J322" s="27">
        <f t="shared" si="143"/>
        <v>27363</v>
      </c>
      <c r="K322" s="27">
        <f t="shared" si="143"/>
        <v>0</v>
      </c>
      <c r="L322" s="27">
        <f t="shared" si="143"/>
        <v>0</v>
      </c>
      <c r="M322" s="27">
        <f t="shared" si="143"/>
        <v>0</v>
      </c>
      <c r="N322" s="27">
        <f t="shared" si="143"/>
        <v>0</v>
      </c>
      <c r="O322" s="27">
        <f t="shared" si="143"/>
        <v>0</v>
      </c>
      <c r="P322" s="27">
        <f t="shared" si="143"/>
        <v>0</v>
      </c>
      <c r="Q322" s="55"/>
      <c r="R322" s="55"/>
      <c r="S322" s="56"/>
      <c r="T322" s="56"/>
      <c r="U322" s="56"/>
    </row>
    <row r="323" spans="1:21" s="57" customFormat="1" ht="13.15" customHeight="1">
      <c r="A323" s="1064">
        <v>85410</v>
      </c>
      <c r="B323" s="1065" t="s">
        <v>183</v>
      </c>
      <c r="C323" s="26" t="s">
        <v>21</v>
      </c>
      <c r="D323" s="17">
        <f>E323+M323</f>
        <v>1609356</v>
      </c>
      <c r="E323" s="27">
        <f>F323+I323+J323+K323+L323</f>
        <v>1532067</v>
      </c>
      <c r="F323" s="27">
        <f>G323+H323</f>
        <v>1529567</v>
      </c>
      <c r="G323" s="27">
        <v>1261006</v>
      </c>
      <c r="H323" s="27">
        <v>268561</v>
      </c>
      <c r="I323" s="27">
        <v>0</v>
      </c>
      <c r="J323" s="27">
        <v>2500</v>
      </c>
      <c r="K323" s="27">
        <v>0</v>
      </c>
      <c r="L323" s="27">
        <v>0</v>
      </c>
      <c r="M323" s="27">
        <f>N323+P323</f>
        <v>77289</v>
      </c>
      <c r="N323" s="27">
        <v>77289</v>
      </c>
      <c r="O323" s="27">
        <v>0</v>
      </c>
      <c r="P323" s="27">
        <v>0</v>
      </c>
      <c r="Q323" s="55"/>
      <c r="R323" s="55"/>
      <c r="S323" s="56"/>
      <c r="T323" s="56"/>
      <c r="U323" s="56"/>
    </row>
    <row r="324" spans="1:21" s="57" customFormat="1">
      <c r="A324" s="1064"/>
      <c r="B324" s="1065"/>
      <c r="C324" s="26" t="s">
        <v>22</v>
      </c>
      <c r="D324" s="17">
        <f>E324+M324</f>
        <v>-90849</v>
      </c>
      <c r="E324" s="27">
        <f>F324+I324+J324+K324+L324</f>
        <v>-90849</v>
      </c>
      <c r="F324" s="27">
        <f>G324+H324</f>
        <v>-94349</v>
      </c>
      <c r="G324" s="27">
        <v>-94349</v>
      </c>
      <c r="H324" s="27"/>
      <c r="I324" s="27"/>
      <c r="J324" s="27">
        <v>3500</v>
      </c>
      <c r="K324" s="27"/>
      <c r="L324" s="27"/>
      <c r="M324" s="27">
        <f>N324+P324</f>
        <v>0</v>
      </c>
      <c r="N324" s="27"/>
      <c r="O324" s="27"/>
      <c r="P324" s="27"/>
      <c r="Q324" s="55"/>
      <c r="R324" s="55"/>
      <c r="S324" s="56"/>
      <c r="T324" s="56"/>
      <c r="U324" s="56"/>
    </row>
    <row r="325" spans="1:21" s="57" customFormat="1">
      <c r="A325" s="1064"/>
      <c r="B325" s="1065"/>
      <c r="C325" s="26" t="s">
        <v>23</v>
      </c>
      <c r="D325" s="17">
        <f t="shared" ref="D325:P325" si="144">D323+D324</f>
        <v>1518507</v>
      </c>
      <c r="E325" s="27">
        <f t="shared" si="144"/>
        <v>1441218</v>
      </c>
      <c r="F325" s="27">
        <f t="shared" si="144"/>
        <v>1435218</v>
      </c>
      <c r="G325" s="27">
        <f t="shared" si="144"/>
        <v>1166657</v>
      </c>
      <c r="H325" s="27">
        <f t="shared" si="144"/>
        <v>268561</v>
      </c>
      <c r="I325" s="27">
        <f t="shared" si="144"/>
        <v>0</v>
      </c>
      <c r="J325" s="27">
        <f t="shared" si="144"/>
        <v>6000</v>
      </c>
      <c r="K325" s="27">
        <f t="shared" si="144"/>
        <v>0</v>
      </c>
      <c r="L325" s="27">
        <f t="shared" si="144"/>
        <v>0</v>
      </c>
      <c r="M325" s="27">
        <f t="shared" si="144"/>
        <v>77289</v>
      </c>
      <c r="N325" s="27">
        <f t="shared" si="144"/>
        <v>77289</v>
      </c>
      <c r="O325" s="27">
        <f t="shared" si="144"/>
        <v>0</v>
      </c>
      <c r="P325" s="27">
        <f t="shared" si="144"/>
        <v>0</v>
      </c>
      <c r="Q325" s="55"/>
      <c r="R325" s="55"/>
      <c r="S325" s="56"/>
      <c r="T325" s="56"/>
      <c r="U325" s="56"/>
    </row>
    <row r="326" spans="1:21" s="19" customFormat="1" ht="13.15" hidden="1" customHeight="1">
      <c r="A326" s="1064">
        <v>85415</v>
      </c>
      <c r="B326" s="1065" t="s">
        <v>184</v>
      </c>
      <c r="C326" s="26" t="s">
        <v>21</v>
      </c>
      <c r="D326" s="17">
        <f>E326+M326</f>
        <v>219000</v>
      </c>
      <c r="E326" s="27">
        <f>F326+I326+J326+K326+L326</f>
        <v>219000</v>
      </c>
      <c r="F326" s="27">
        <f>G326+H326</f>
        <v>0</v>
      </c>
      <c r="G326" s="27">
        <v>0</v>
      </c>
      <c r="H326" s="27">
        <v>0</v>
      </c>
      <c r="I326" s="27">
        <v>219000</v>
      </c>
      <c r="J326" s="27">
        <v>0</v>
      </c>
      <c r="K326" s="27">
        <v>0</v>
      </c>
      <c r="L326" s="27">
        <v>0</v>
      </c>
      <c r="M326" s="27">
        <f>N326+P326</f>
        <v>0</v>
      </c>
      <c r="N326" s="27">
        <v>0</v>
      </c>
      <c r="O326" s="27">
        <v>0</v>
      </c>
      <c r="P326" s="27">
        <v>0</v>
      </c>
      <c r="Q326" s="35"/>
      <c r="R326" s="35"/>
      <c r="S326" s="28"/>
      <c r="T326" s="28"/>
      <c r="U326" s="28"/>
    </row>
    <row r="327" spans="1:21" s="19" customFormat="1" hidden="1">
      <c r="A327" s="1064"/>
      <c r="B327" s="1065"/>
      <c r="C327" s="26" t="s">
        <v>22</v>
      </c>
      <c r="D327" s="17">
        <f>E327+M327</f>
        <v>0</v>
      </c>
      <c r="E327" s="27">
        <f>F327+I327+J327+K327+L327</f>
        <v>0</v>
      </c>
      <c r="F327" s="27">
        <f>G327+H327</f>
        <v>0</v>
      </c>
      <c r="G327" s="27"/>
      <c r="H327" s="27"/>
      <c r="I327" s="27"/>
      <c r="J327" s="27"/>
      <c r="K327" s="27"/>
      <c r="L327" s="27"/>
      <c r="M327" s="27">
        <f>N327+P327</f>
        <v>0</v>
      </c>
      <c r="N327" s="27"/>
      <c r="O327" s="27"/>
      <c r="P327" s="27"/>
      <c r="Q327" s="35"/>
      <c r="R327" s="35"/>
      <c r="S327" s="28"/>
      <c r="T327" s="28"/>
      <c r="U327" s="28"/>
    </row>
    <row r="328" spans="1:21" s="19" customFormat="1" hidden="1">
      <c r="A328" s="1064"/>
      <c r="B328" s="1065"/>
      <c r="C328" s="26" t="s">
        <v>23</v>
      </c>
      <c r="D328" s="17">
        <f t="shared" ref="D328:P328" si="145">D326+D327</f>
        <v>219000</v>
      </c>
      <c r="E328" s="27">
        <f t="shared" si="145"/>
        <v>219000</v>
      </c>
      <c r="F328" s="27">
        <f t="shared" si="145"/>
        <v>0</v>
      </c>
      <c r="G328" s="27">
        <f t="shared" si="145"/>
        <v>0</v>
      </c>
      <c r="H328" s="27">
        <f t="shared" si="145"/>
        <v>0</v>
      </c>
      <c r="I328" s="27">
        <f t="shared" si="145"/>
        <v>219000</v>
      </c>
      <c r="J328" s="27">
        <f t="shared" si="145"/>
        <v>0</v>
      </c>
      <c r="K328" s="27">
        <f t="shared" si="145"/>
        <v>0</v>
      </c>
      <c r="L328" s="27">
        <f t="shared" si="145"/>
        <v>0</v>
      </c>
      <c r="M328" s="27">
        <f t="shared" si="145"/>
        <v>0</v>
      </c>
      <c r="N328" s="27">
        <f t="shared" si="145"/>
        <v>0</v>
      </c>
      <c r="O328" s="27">
        <f t="shared" si="145"/>
        <v>0</v>
      </c>
      <c r="P328" s="27">
        <f t="shared" si="145"/>
        <v>0</v>
      </c>
      <c r="Q328" s="35"/>
      <c r="R328" s="35"/>
      <c r="S328" s="28"/>
      <c r="T328" s="28"/>
      <c r="U328" s="28"/>
    </row>
    <row r="329" spans="1:21" s="19" customFormat="1" ht="13.15" hidden="1" customHeight="1">
      <c r="A329" s="1064">
        <v>85416</v>
      </c>
      <c r="B329" s="1066" t="s">
        <v>185</v>
      </c>
      <c r="C329" s="26" t="s">
        <v>21</v>
      </c>
      <c r="D329" s="17">
        <f>E329+M329</f>
        <v>5290300</v>
      </c>
      <c r="E329" s="27">
        <f>F329+I329+J329+K329+L329</f>
        <v>5290300</v>
      </c>
      <c r="F329" s="27">
        <f>G329+H329</f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5290300</v>
      </c>
      <c r="L329" s="27">
        <v>0</v>
      </c>
      <c r="M329" s="27">
        <f>N329+P329</f>
        <v>0</v>
      </c>
      <c r="N329" s="27">
        <v>0</v>
      </c>
      <c r="O329" s="27">
        <v>0</v>
      </c>
      <c r="P329" s="27">
        <v>0</v>
      </c>
      <c r="Q329" s="35"/>
      <c r="R329" s="35"/>
      <c r="S329" s="28"/>
      <c r="T329" s="28"/>
      <c r="U329" s="28"/>
    </row>
    <row r="330" spans="1:21" s="19" customFormat="1" hidden="1">
      <c r="A330" s="1064"/>
      <c r="B330" s="1066"/>
      <c r="C330" s="26" t="s">
        <v>22</v>
      </c>
      <c r="D330" s="17">
        <f>E330+M330</f>
        <v>0</v>
      </c>
      <c r="E330" s="27">
        <f>F330+I330+J330+K330+L330</f>
        <v>0</v>
      </c>
      <c r="F330" s="27">
        <f>G330+H330</f>
        <v>0</v>
      </c>
      <c r="G330" s="27"/>
      <c r="H330" s="27"/>
      <c r="I330" s="27"/>
      <c r="J330" s="27"/>
      <c r="K330" s="27"/>
      <c r="L330" s="27"/>
      <c r="M330" s="27">
        <f>N330+P330</f>
        <v>0</v>
      </c>
      <c r="N330" s="27"/>
      <c r="O330" s="27"/>
      <c r="P330" s="27"/>
      <c r="Q330" s="35"/>
      <c r="R330" s="35"/>
      <c r="S330" s="28"/>
      <c r="T330" s="28"/>
      <c r="U330" s="28"/>
    </row>
    <row r="331" spans="1:21" s="19" customFormat="1" hidden="1">
      <c r="A331" s="1064"/>
      <c r="B331" s="1066"/>
      <c r="C331" s="26" t="s">
        <v>23</v>
      </c>
      <c r="D331" s="17">
        <f t="shared" ref="D331:P331" si="146">D329+D330</f>
        <v>5290300</v>
      </c>
      <c r="E331" s="27">
        <f t="shared" si="146"/>
        <v>5290300</v>
      </c>
      <c r="F331" s="27">
        <f t="shared" si="146"/>
        <v>0</v>
      </c>
      <c r="G331" s="27">
        <f t="shared" si="146"/>
        <v>0</v>
      </c>
      <c r="H331" s="27">
        <f t="shared" si="146"/>
        <v>0</v>
      </c>
      <c r="I331" s="27">
        <f t="shared" si="146"/>
        <v>0</v>
      </c>
      <c r="J331" s="27">
        <f t="shared" si="146"/>
        <v>0</v>
      </c>
      <c r="K331" s="27">
        <f t="shared" si="146"/>
        <v>5290300</v>
      </c>
      <c r="L331" s="27">
        <f t="shared" si="146"/>
        <v>0</v>
      </c>
      <c r="M331" s="27">
        <f t="shared" si="146"/>
        <v>0</v>
      </c>
      <c r="N331" s="27">
        <f t="shared" si="146"/>
        <v>0</v>
      </c>
      <c r="O331" s="27">
        <f t="shared" si="146"/>
        <v>0</v>
      </c>
      <c r="P331" s="27">
        <f t="shared" si="146"/>
        <v>0</v>
      </c>
      <c r="Q331" s="35"/>
      <c r="R331" s="35"/>
      <c r="S331" s="28"/>
      <c r="T331" s="28"/>
      <c r="U331" s="28"/>
    </row>
    <row r="332" spans="1:21" s="57" customFormat="1" ht="13.15" customHeight="1">
      <c r="A332" s="1064">
        <v>85446</v>
      </c>
      <c r="B332" s="1066" t="s">
        <v>149</v>
      </c>
      <c r="C332" s="26" t="s">
        <v>21</v>
      </c>
      <c r="D332" s="17">
        <f>E332+M332</f>
        <v>91170</v>
      </c>
      <c r="E332" s="27">
        <f>F332+I332+J332+K332+L332</f>
        <v>91170</v>
      </c>
      <c r="F332" s="27">
        <f>G332+H332</f>
        <v>91170</v>
      </c>
      <c r="G332" s="27">
        <v>0</v>
      </c>
      <c r="H332" s="27">
        <v>91170</v>
      </c>
      <c r="I332" s="27">
        <v>0</v>
      </c>
      <c r="J332" s="27">
        <v>0</v>
      </c>
      <c r="K332" s="27">
        <v>0</v>
      </c>
      <c r="L332" s="27">
        <v>0</v>
      </c>
      <c r="M332" s="27">
        <f>N332+P332</f>
        <v>0</v>
      </c>
      <c r="N332" s="27">
        <v>0</v>
      </c>
      <c r="O332" s="27">
        <v>0</v>
      </c>
      <c r="P332" s="27">
        <v>0</v>
      </c>
      <c r="Q332" s="55"/>
      <c r="R332" s="55"/>
      <c r="S332" s="56"/>
      <c r="T332" s="56"/>
      <c r="U332" s="56"/>
    </row>
    <row r="333" spans="1:21" s="57" customFormat="1">
      <c r="A333" s="1064"/>
      <c r="B333" s="1066"/>
      <c r="C333" s="26" t="s">
        <v>22</v>
      </c>
      <c r="D333" s="17">
        <f>E333+M333</f>
        <v>-58943</v>
      </c>
      <c r="E333" s="27">
        <f>F333+I333+J333+K333+L333</f>
        <v>-58943</v>
      </c>
      <c r="F333" s="27">
        <f>G333+H333</f>
        <v>-58943</v>
      </c>
      <c r="G333" s="27"/>
      <c r="H333" s="27">
        <v>-58943</v>
      </c>
      <c r="I333" s="27"/>
      <c r="J333" s="27"/>
      <c r="K333" s="27"/>
      <c r="L333" s="27"/>
      <c r="M333" s="27">
        <f>N333+P333</f>
        <v>0</v>
      </c>
      <c r="N333" s="27"/>
      <c r="O333" s="27"/>
      <c r="P333" s="27"/>
      <c r="Q333" s="55"/>
      <c r="R333" s="55"/>
      <c r="S333" s="56"/>
      <c r="T333" s="56"/>
      <c r="U333" s="56"/>
    </row>
    <row r="334" spans="1:21" s="57" customFormat="1">
      <c r="A334" s="1064"/>
      <c r="B334" s="1066"/>
      <c r="C334" s="26" t="s">
        <v>23</v>
      </c>
      <c r="D334" s="17">
        <f t="shared" ref="D334:P334" si="147">D332+D333</f>
        <v>32227</v>
      </c>
      <c r="E334" s="27">
        <f t="shared" si="147"/>
        <v>32227</v>
      </c>
      <c r="F334" s="27">
        <f t="shared" si="147"/>
        <v>32227</v>
      </c>
      <c r="G334" s="27">
        <f t="shared" si="147"/>
        <v>0</v>
      </c>
      <c r="H334" s="27">
        <f t="shared" si="147"/>
        <v>32227</v>
      </c>
      <c r="I334" s="27">
        <f t="shared" si="147"/>
        <v>0</v>
      </c>
      <c r="J334" s="27">
        <f t="shared" si="147"/>
        <v>0</v>
      </c>
      <c r="K334" s="27">
        <f t="shared" si="147"/>
        <v>0</v>
      </c>
      <c r="L334" s="27">
        <f t="shared" si="147"/>
        <v>0</v>
      </c>
      <c r="M334" s="27">
        <f t="shared" si="147"/>
        <v>0</v>
      </c>
      <c r="N334" s="27">
        <f t="shared" si="147"/>
        <v>0</v>
      </c>
      <c r="O334" s="27">
        <f t="shared" si="147"/>
        <v>0</v>
      </c>
      <c r="P334" s="27">
        <f t="shared" si="147"/>
        <v>0</v>
      </c>
      <c r="Q334" s="55"/>
      <c r="R334" s="55"/>
      <c r="S334" s="56"/>
      <c r="T334" s="56"/>
      <c r="U334" s="56"/>
    </row>
    <row r="335" spans="1:21" s="57" customFormat="1" ht="13.15" hidden="1" customHeight="1">
      <c r="A335" s="1064">
        <v>85495</v>
      </c>
      <c r="B335" s="1065" t="s">
        <v>37</v>
      </c>
      <c r="C335" s="26" t="s">
        <v>21</v>
      </c>
      <c r="D335" s="17">
        <f>E335+M335</f>
        <v>364191</v>
      </c>
      <c r="E335" s="27">
        <f>F335+I335+J335+K335+L335</f>
        <v>364191</v>
      </c>
      <c r="F335" s="27">
        <f>G335+H335</f>
        <v>315511</v>
      </c>
      <c r="G335" s="27">
        <v>0</v>
      </c>
      <c r="H335" s="27">
        <v>315511</v>
      </c>
      <c r="I335" s="27">
        <v>0</v>
      </c>
      <c r="J335" s="27">
        <v>48680</v>
      </c>
      <c r="K335" s="27">
        <v>0</v>
      </c>
      <c r="L335" s="27">
        <v>0</v>
      </c>
      <c r="M335" s="27">
        <f>N335+P335</f>
        <v>0</v>
      </c>
      <c r="N335" s="27">
        <v>0</v>
      </c>
      <c r="O335" s="27">
        <v>0</v>
      </c>
      <c r="P335" s="27">
        <v>0</v>
      </c>
      <c r="Q335" s="55"/>
      <c r="R335" s="55"/>
      <c r="S335" s="56"/>
      <c r="T335" s="56"/>
      <c r="U335" s="56"/>
    </row>
    <row r="336" spans="1:21" s="57" customFormat="1" hidden="1">
      <c r="A336" s="1064"/>
      <c r="B336" s="1065"/>
      <c r="C336" s="26" t="s">
        <v>22</v>
      </c>
      <c r="D336" s="17">
        <f>E336+M336</f>
        <v>0</v>
      </c>
      <c r="E336" s="27">
        <f>F336+I336+J336+K336+L336</f>
        <v>0</v>
      </c>
      <c r="F336" s="27">
        <f>G336+H336</f>
        <v>0</v>
      </c>
      <c r="G336" s="27"/>
      <c r="H336" s="27"/>
      <c r="I336" s="27"/>
      <c r="J336" s="27"/>
      <c r="K336" s="27"/>
      <c r="L336" s="27"/>
      <c r="M336" s="27">
        <f>N336+P336</f>
        <v>0</v>
      </c>
      <c r="N336" s="27"/>
      <c r="O336" s="27"/>
      <c r="P336" s="27"/>
      <c r="Q336" s="55"/>
      <c r="R336" s="55"/>
      <c r="S336" s="56"/>
      <c r="T336" s="56"/>
      <c r="U336" s="56"/>
    </row>
    <row r="337" spans="1:21" s="57" customFormat="1" hidden="1">
      <c r="A337" s="1064"/>
      <c r="B337" s="1065"/>
      <c r="C337" s="26" t="s">
        <v>23</v>
      </c>
      <c r="D337" s="17">
        <f t="shared" ref="D337:P337" si="148">D335+D336</f>
        <v>364191</v>
      </c>
      <c r="E337" s="27">
        <f t="shared" si="148"/>
        <v>364191</v>
      </c>
      <c r="F337" s="27">
        <f t="shared" si="148"/>
        <v>315511</v>
      </c>
      <c r="G337" s="27">
        <f t="shared" si="148"/>
        <v>0</v>
      </c>
      <c r="H337" s="27">
        <f t="shared" si="148"/>
        <v>315511</v>
      </c>
      <c r="I337" s="27">
        <f t="shared" si="148"/>
        <v>0</v>
      </c>
      <c r="J337" s="27">
        <f t="shared" si="148"/>
        <v>48680</v>
      </c>
      <c r="K337" s="27">
        <f t="shared" si="148"/>
        <v>0</v>
      </c>
      <c r="L337" s="27">
        <f t="shared" si="148"/>
        <v>0</v>
      </c>
      <c r="M337" s="27">
        <f t="shared" si="148"/>
        <v>0</v>
      </c>
      <c r="N337" s="27">
        <f t="shared" si="148"/>
        <v>0</v>
      </c>
      <c r="O337" s="27">
        <f t="shared" si="148"/>
        <v>0</v>
      </c>
      <c r="P337" s="27">
        <f t="shared" si="148"/>
        <v>0</v>
      </c>
      <c r="Q337" s="55"/>
      <c r="R337" s="55"/>
      <c r="S337" s="56"/>
      <c r="T337" s="56"/>
      <c r="U337" s="56"/>
    </row>
    <row r="338" spans="1:21" s="45" customFormat="1" ht="16.149999999999999" customHeight="1">
      <c r="A338" s="1062">
        <v>855</v>
      </c>
      <c r="B338" s="1063" t="s">
        <v>186</v>
      </c>
      <c r="C338" s="42" t="s">
        <v>21</v>
      </c>
      <c r="D338" s="30">
        <f t="shared" ref="D338:P338" si="149">D341+D344</f>
        <v>7885489</v>
      </c>
      <c r="E338" s="31">
        <f t="shared" si="149"/>
        <v>7885489</v>
      </c>
      <c r="F338" s="31">
        <f t="shared" si="149"/>
        <v>2799703</v>
      </c>
      <c r="G338" s="31">
        <f t="shared" si="149"/>
        <v>2289411</v>
      </c>
      <c r="H338" s="31">
        <f t="shared" si="149"/>
        <v>510292</v>
      </c>
      <c r="I338" s="31">
        <f t="shared" si="149"/>
        <v>1380055</v>
      </c>
      <c r="J338" s="31">
        <f t="shared" si="149"/>
        <v>577</v>
      </c>
      <c r="K338" s="31">
        <f t="shared" si="149"/>
        <v>3705154</v>
      </c>
      <c r="L338" s="31">
        <f t="shared" si="149"/>
        <v>0</v>
      </c>
      <c r="M338" s="31">
        <f t="shared" si="149"/>
        <v>0</v>
      </c>
      <c r="N338" s="31">
        <f t="shared" si="149"/>
        <v>0</v>
      </c>
      <c r="O338" s="31">
        <f t="shared" si="149"/>
        <v>0</v>
      </c>
      <c r="P338" s="31">
        <f t="shared" si="149"/>
        <v>0</v>
      </c>
      <c r="Q338" s="43"/>
      <c r="R338" s="43"/>
      <c r="S338" s="44"/>
      <c r="T338" s="44"/>
      <c r="U338" s="44"/>
    </row>
    <row r="339" spans="1:21" s="45" customFormat="1" ht="16.149999999999999" customHeight="1">
      <c r="A339" s="1062"/>
      <c r="B339" s="1063"/>
      <c r="C339" s="42" t="s">
        <v>22</v>
      </c>
      <c r="D339" s="30">
        <f t="shared" ref="D339:P339" si="150">D342+D345</f>
        <v>-135790</v>
      </c>
      <c r="E339" s="31">
        <f t="shared" si="150"/>
        <v>-135790</v>
      </c>
      <c r="F339" s="31">
        <f t="shared" si="150"/>
        <v>-90000</v>
      </c>
      <c r="G339" s="31">
        <f t="shared" si="150"/>
        <v>-2000</v>
      </c>
      <c r="H339" s="31">
        <f t="shared" si="150"/>
        <v>-88000</v>
      </c>
      <c r="I339" s="31">
        <f t="shared" si="150"/>
        <v>-45790</v>
      </c>
      <c r="J339" s="31">
        <f t="shared" si="150"/>
        <v>0</v>
      </c>
      <c r="K339" s="31">
        <f t="shared" si="150"/>
        <v>0</v>
      </c>
      <c r="L339" s="31">
        <f t="shared" si="150"/>
        <v>0</v>
      </c>
      <c r="M339" s="31">
        <f t="shared" si="150"/>
        <v>0</v>
      </c>
      <c r="N339" s="31">
        <f t="shared" si="150"/>
        <v>0</v>
      </c>
      <c r="O339" s="31">
        <f t="shared" si="150"/>
        <v>0</v>
      </c>
      <c r="P339" s="31">
        <f t="shared" si="150"/>
        <v>0</v>
      </c>
      <c r="Q339" s="43"/>
      <c r="R339" s="43"/>
      <c r="S339" s="44"/>
      <c r="T339" s="44"/>
      <c r="U339" s="44"/>
    </row>
    <row r="340" spans="1:21" s="45" customFormat="1" ht="16.149999999999999" customHeight="1">
      <c r="A340" s="1062"/>
      <c r="B340" s="1063"/>
      <c r="C340" s="42" t="s">
        <v>23</v>
      </c>
      <c r="D340" s="30">
        <f t="shared" ref="D340:P340" si="151">D338+D339</f>
        <v>7749699</v>
      </c>
      <c r="E340" s="31">
        <f t="shared" si="151"/>
        <v>7749699</v>
      </c>
      <c r="F340" s="31">
        <f t="shared" si="151"/>
        <v>2709703</v>
      </c>
      <c r="G340" s="31">
        <f t="shared" si="151"/>
        <v>2287411</v>
      </c>
      <c r="H340" s="31">
        <f t="shared" si="151"/>
        <v>422292</v>
      </c>
      <c r="I340" s="31">
        <f t="shared" si="151"/>
        <v>1334265</v>
      </c>
      <c r="J340" s="31">
        <f t="shared" si="151"/>
        <v>577</v>
      </c>
      <c r="K340" s="31">
        <f t="shared" si="151"/>
        <v>3705154</v>
      </c>
      <c r="L340" s="31">
        <f t="shared" si="151"/>
        <v>0</v>
      </c>
      <c r="M340" s="31">
        <f t="shared" si="151"/>
        <v>0</v>
      </c>
      <c r="N340" s="31">
        <f t="shared" si="151"/>
        <v>0</v>
      </c>
      <c r="O340" s="31">
        <f t="shared" si="151"/>
        <v>0</v>
      </c>
      <c r="P340" s="31">
        <f t="shared" si="151"/>
        <v>0</v>
      </c>
      <c r="Q340" s="43"/>
      <c r="R340" s="43"/>
      <c r="S340" s="44"/>
      <c r="T340" s="44"/>
      <c r="U340" s="44"/>
    </row>
    <row r="341" spans="1:21" s="57" customFormat="1" ht="13.15" hidden="1" customHeight="1">
      <c r="A341" s="1064">
        <v>85509</v>
      </c>
      <c r="B341" s="1065" t="s">
        <v>187</v>
      </c>
      <c r="C341" s="26" t="s">
        <v>21</v>
      </c>
      <c r="D341" s="17">
        <f>E341+M341</f>
        <v>3071280</v>
      </c>
      <c r="E341" s="27">
        <f>F341+I341+J341+K341+L341</f>
        <v>3071280</v>
      </c>
      <c r="F341" s="27">
        <f>G341+H341</f>
        <v>2640703</v>
      </c>
      <c r="G341" s="27">
        <v>2287411</v>
      </c>
      <c r="H341" s="27">
        <v>353292</v>
      </c>
      <c r="I341" s="27">
        <v>430000</v>
      </c>
      <c r="J341" s="27">
        <v>577</v>
      </c>
      <c r="K341" s="27">
        <v>0</v>
      </c>
      <c r="L341" s="27">
        <v>0</v>
      </c>
      <c r="M341" s="27">
        <f>N341+P341</f>
        <v>0</v>
      </c>
      <c r="N341" s="27">
        <v>0</v>
      </c>
      <c r="O341" s="27">
        <v>0</v>
      </c>
      <c r="P341" s="27">
        <v>0</v>
      </c>
      <c r="Q341" s="61"/>
      <c r="R341" s="61"/>
      <c r="S341" s="56"/>
      <c r="T341" s="56"/>
      <c r="U341" s="56"/>
    </row>
    <row r="342" spans="1:21" s="57" customFormat="1" hidden="1">
      <c r="A342" s="1064"/>
      <c r="B342" s="1065"/>
      <c r="C342" s="26" t="s">
        <v>22</v>
      </c>
      <c r="D342" s="17">
        <f>E342+M342</f>
        <v>0</v>
      </c>
      <c r="E342" s="27">
        <f>F342+I342+J342+K342+L342</f>
        <v>0</v>
      </c>
      <c r="F342" s="27">
        <f>G342+H342</f>
        <v>0</v>
      </c>
      <c r="G342" s="27"/>
      <c r="H342" s="27"/>
      <c r="I342" s="27"/>
      <c r="J342" s="27"/>
      <c r="K342" s="27"/>
      <c r="L342" s="27"/>
      <c r="M342" s="27">
        <f>N342+P342</f>
        <v>0</v>
      </c>
      <c r="N342" s="27"/>
      <c r="O342" s="27"/>
      <c r="P342" s="27"/>
      <c r="Q342" s="61"/>
      <c r="R342" s="61"/>
      <c r="S342" s="56"/>
      <c r="T342" s="56"/>
      <c r="U342" s="56"/>
    </row>
    <row r="343" spans="1:21" s="57" customFormat="1" hidden="1">
      <c r="A343" s="1064"/>
      <c r="B343" s="1065"/>
      <c r="C343" s="26" t="s">
        <v>23</v>
      </c>
      <c r="D343" s="17">
        <f t="shared" ref="D343:P343" si="152">D341+D342</f>
        <v>3071280</v>
      </c>
      <c r="E343" s="27">
        <f t="shared" si="152"/>
        <v>3071280</v>
      </c>
      <c r="F343" s="27">
        <f t="shared" si="152"/>
        <v>2640703</v>
      </c>
      <c r="G343" s="27">
        <f t="shared" si="152"/>
        <v>2287411</v>
      </c>
      <c r="H343" s="27">
        <f t="shared" si="152"/>
        <v>353292</v>
      </c>
      <c r="I343" s="27">
        <f t="shared" si="152"/>
        <v>430000</v>
      </c>
      <c r="J343" s="27">
        <f t="shared" si="152"/>
        <v>577</v>
      </c>
      <c r="K343" s="27">
        <f t="shared" si="152"/>
        <v>0</v>
      </c>
      <c r="L343" s="27">
        <f t="shared" si="152"/>
        <v>0</v>
      </c>
      <c r="M343" s="27">
        <f t="shared" si="152"/>
        <v>0</v>
      </c>
      <c r="N343" s="27">
        <f t="shared" si="152"/>
        <v>0</v>
      </c>
      <c r="O343" s="27">
        <f t="shared" si="152"/>
        <v>0</v>
      </c>
      <c r="P343" s="27">
        <f t="shared" si="152"/>
        <v>0</v>
      </c>
      <c r="Q343" s="61"/>
      <c r="R343" s="61"/>
      <c r="S343" s="56"/>
      <c r="T343" s="56"/>
      <c r="U343" s="56"/>
    </row>
    <row r="344" spans="1:21" s="57" customFormat="1" ht="13.15" customHeight="1">
      <c r="A344" s="1064">
        <v>85595</v>
      </c>
      <c r="B344" s="1065" t="s">
        <v>37</v>
      </c>
      <c r="C344" s="26" t="s">
        <v>21</v>
      </c>
      <c r="D344" s="17">
        <f>E344+M344</f>
        <v>4814209</v>
      </c>
      <c r="E344" s="27">
        <f>F344+I344+J344+K344+L344</f>
        <v>4814209</v>
      </c>
      <c r="F344" s="27">
        <f>G344+H344</f>
        <v>159000</v>
      </c>
      <c r="G344" s="27">
        <v>2000</v>
      </c>
      <c r="H344" s="27">
        <v>157000</v>
      </c>
      <c r="I344" s="27">
        <v>950055</v>
      </c>
      <c r="J344" s="27">
        <v>0</v>
      </c>
      <c r="K344" s="27">
        <v>3705154</v>
      </c>
      <c r="L344" s="27">
        <v>0</v>
      </c>
      <c r="M344" s="27">
        <f>N344+P344</f>
        <v>0</v>
      </c>
      <c r="N344" s="27">
        <v>0</v>
      </c>
      <c r="O344" s="27">
        <v>0</v>
      </c>
      <c r="P344" s="27">
        <v>0</v>
      </c>
      <c r="Q344" s="55"/>
      <c r="R344" s="55"/>
      <c r="S344" s="56"/>
      <c r="T344" s="56"/>
      <c r="U344" s="56"/>
    </row>
    <row r="345" spans="1:21" s="57" customFormat="1">
      <c r="A345" s="1064"/>
      <c r="B345" s="1065"/>
      <c r="C345" s="26" t="s">
        <v>22</v>
      </c>
      <c r="D345" s="17">
        <f>E345+M345</f>
        <v>-135790</v>
      </c>
      <c r="E345" s="27">
        <f>F345+I345+J345+K345+L345</f>
        <v>-135790</v>
      </c>
      <c r="F345" s="27">
        <f>G345+H345</f>
        <v>-90000</v>
      </c>
      <c r="G345" s="27">
        <v>-2000</v>
      </c>
      <c r="H345" s="27">
        <f>-4000-900-83100</f>
        <v>-88000</v>
      </c>
      <c r="I345" s="27">
        <v>-45790</v>
      </c>
      <c r="J345" s="27"/>
      <c r="K345" s="27"/>
      <c r="L345" s="27"/>
      <c r="M345" s="27">
        <f>N345+P345</f>
        <v>0</v>
      </c>
      <c r="N345" s="27"/>
      <c r="O345" s="27"/>
      <c r="P345" s="27"/>
      <c r="Q345" s="55"/>
      <c r="R345" s="55"/>
      <c r="S345" s="56"/>
      <c r="T345" s="56"/>
      <c r="U345" s="56"/>
    </row>
    <row r="346" spans="1:21" s="57" customFormat="1">
      <c r="A346" s="1064"/>
      <c r="B346" s="1065"/>
      <c r="C346" s="26" t="s">
        <v>23</v>
      </c>
      <c r="D346" s="17">
        <f t="shared" ref="D346:P346" si="153">D344+D345</f>
        <v>4678419</v>
      </c>
      <c r="E346" s="27">
        <f t="shared" si="153"/>
        <v>4678419</v>
      </c>
      <c r="F346" s="27">
        <f t="shared" si="153"/>
        <v>69000</v>
      </c>
      <c r="G346" s="27">
        <f t="shared" si="153"/>
        <v>0</v>
      </c>
      <c r="H346" s="27">
        <f t="shared" si="153"/>
        <v>69000</v>
      </c>
      <c r="I346" s="27">
        <f t="shared" si="153"/>
        <v>904265</v>
      </c>
      <c r="J346" s="27">
        <f t="shared" si="153"/>
        <v>0</v>
      </c>
      <c r="K346" s="27">
        <f t="shared" si="153"/>
        <v>3705154</v>
      </c>
      <c r="L346" s="27">
        <f t="shared" si="153"/>
        <v>0</v>
      </c>
      <c r="M346" s="27">
        <f t="shared" si="153"/>
        <v>0</v>
      </c>
      <c r="N346" s="27">
        <f t="shared" si="153"/>
        <v>0</v>
      </c>
      <c r="O346" s="27">
        <f t="shared" si="153"/>
        <v>0</v>
      </c>
      <c r="P346" s="27">
        <f t="shared" si="153"/>
        <v>0</v>
      </c>
      <c r="Q346" s="55"/>
      <c r="R346" s="55"/>
      <c r="S346" s="56"/>
      <c r="T346" s="56"/>
      <c r="U346" s="56"/>
    </row>
    <row r="347" spans="1:21" s="45" customFormat="1" ht="17.45" customHeight="1">
      <c r="A347" s="1062">
        <v>900</v>
      </c>
      <c r="B347" s="1063" t="s">
        <v>188</v>
      </c>
      <c r="C347" s="42" t="s">
        <v>21</v>
      </c>
      <c r="D347" s="30">
        <f t="shared" ref="D347:P347" si="154">D356+D359+D362+D365+D368+D374+D371+D353+D350</f>
        <v>12518210</v>
      </c>
      <c r="E347" s="31">
        <f t="shared" si="154"/>
        <v>4559845</v>
      </c>
      <c r="F347" s="31">
        <f t="shared" si="154"/>
        <v>2611791</v>
      </c>
      <c r="G347" s="31">
        <f t="shared" si="154"/>
        <v>1475123</v>
      </c>
      <c r="H347" s="31">
        <f t="shared" si="154"/>
        <v>1136668</v>
      </c>
      <c r="I347" s="31">
        <f t="shared" si="154"/>
        <v>0</v>
      </c>
      <c r="J347" s="31">
        <f t="shared" si="154"/>
        <v>0</v>
      </c>
      <c r="K347" s="31">
        <f t="shared" si="154"/>
        <v>1948054</v>
      </c>
      <c r="L347" s="31">
        <f t="shared" si="154"/>
        <v>0</v>
      </c>
      <c r="M347" s="31">
        <f t="shared" si="154"/>
        <v>7958365</v>
      </c>
      <c r="N347" s="31">
        <f t="shared" si="154"/>
        <v>4958365</v>
      </c>
      <c r="O347" s="31">
        <f t="shared" si="154"/>
        <v>4939952</v>
      </c>
      <c r="P347" s="31">
        <f t="shared" si="154"/>
        <v>3000000</v>
      </c>
      <c r="Q347" s="43"/>
      <c r="R347" s="43"/>
      <c r="S347" s="44"/>
      <c r="T347" s="44"/>
      <c r="U347" s="44"/>
    </row>
    <row r="348" spans="1:21" s="45" customFormat="1" ht="17.45" customHeight="1">
      <c r="A348" s="1062"/>
      <c r="B348" s="1063"/>
      <c r="C348" s="42" t="s">
        <v>22</v>
      </c>
      <c r="D348" s="30">
        <f t="shared" ref="D348:P348" si="155">D357+D360+D363+D366+D369+D375+D372+D354+D351</f>
        <v>-3414738</v>
      </c>
      <c r="E348" s="31">
        <f t="shared" si="155"/>
        <v>-154335</v>
      </c>
      <c r="F348" s="31">
        <f t="shared" si="155"/>
        <v>-147080</v>
      </c>
      <c r="G348" s="31">
        <f t="shared" si="155"/>
        <v>-41800</v>
      </c>
      <c r="H348" s="31">
        <f t="shared" si="155"/>
        <v>-105280</v>
      </c>
      <c r="I348" s="31">
        <f t="shared" si="155"/>
        <v>0</v>
      </c>
      <c r="J348" s="31">
        <f t="shared" si="155"/>
        <v>0</v>
      </c>
      <c r="K348" s="31">
        <f t="shared" si="155"/>
        <v>-7255</v>
      </c>
      <c r="L348" s="31">
        <f t="shared" si="155"/>
        <v>0</v>
      </c>
      <c r="M348" s="31">
        <f t="shared" si="155"/>
        <v>-3260403</v>
      </c>
      <c r="N348" s="31">
        <f t="shared" si="155"/>
        <v>-3260403</v>
      </c>
      <c r="O348" s="31">
        <f t="shared" si="155"/>
        <v>-3260403</v>
      </c>
      <c r="P348" s="31">
        <f t="shared" si="155"/>
        <v>0</v>
      </c>
      <c r="Q348" s="43"/>
      <c r="R348" s="43"/>
      <c r="S348" s="44"/>
      <c r="T348" s="44"/>
      <c r="U348" s="44"/>
    </row>
    <row r="349" spans="1:21" s="45" customFormat="1" ht="17.45" customHeight="1">
      <c r="A349" s="1062"/>
      <c r="B349" s="1063"/>
      <c r="C349" s="42" t="s">
        <v>23</v>
      </c>
      <c r="D349" s="30">
        <f t="shared" ref="D349:P349" si="156">D347+D348</f>
        <v>9103472</v>
      </c>
      <c r="E349" s="31">
        <f t="shared" si="156"/>
        <v>4405510</v>
      </c>
      <c r="F349" s="31">
        <f t="shared" si="156"/>
        <v>2464711</v>
      </c>
      <c r="G349" s="31">
        <f t="shared" si="156"/>
        <v>1433323</v>
      </c>
      <c r="H349" s="31">
        <f t="shared" si="156"/>
        <v>1031388</v>
      </c>
      <c r="I349" s="31">
        <f t="shared" si="156"/>
        <v>0</v>
      </c>
      <c r="J349" s="31">
        <f t="shared" si="156"/>
        <v>0</v>
      </c>
      <c r="K349" s="31">
        <f t="shared" si="156"/>
        <v>1940799</v>
      </c>
      <c r="L349" s="31">
        <f t="shared" si="156"/>
        <v>0</v>
      </c>
      <c r="M349" s="31">
        <f t="shared" si="156"/>
        <v>4697962</v>
      </c>
      <c r="N349" s="31">
        <f t="shared" si="156"/>
        <v>1697962</v>
      </c>
      <c r="O349" s="31">
        <f t="shared" si="156"/>
        <v>1679549</v>
      </c>
      <c r="P349" s="31">
        <f t="shared" si="156"/>
        <v>3000000</v>
      </c>
      <c r="Q349" s="43"/>
      <c r="R349" s="43"/>
      <c r="S349" s="44"/>
      <c r="T349" s="44"/>
      <c r="U349" s="44"/>
    </row>
    <row r="350" spans="1:21" s="57" customFormat="1" ht="13.15" customHeight="1">
      <c r="A350" s="1064">
        <v>90001</v>
      </c>
      <c r="B350" s="1065" t="s">
        <v>189</v>
      </c>
      <c r="C350" s="26" t="s">
        <v>21</v>
      </c>
      <c r="D350" s="17">
        <f>E350+M350</f>
        <v>60878</v>
      </c>
      <c r="E350" s="27">
        <f>F350+I350+J350+K350+L350</f>
        <v>0</v>
      </c>
      <c r="F350" s="27">
        <f>G350+H350</f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f>N350+P350</f>
        <v>60878</v>
      </c>
      <c r="N350" s="27">
        <v>60878</v>
      </c>
      <c r="O350" s="27">
        <v>60878</v>
      </c>
      <c r="P350" s="27">
        <v>0</v>
      </c>
      <c r="Q350" s="55"/>
      <c r="R350" s="55"/>
      <c r="S350" s="56"/>
      <c r="T350" s="56"/>
      <c r="U350" s="56"/>
    </row>
    <row r="351" spans="1:21" s="57" customFormat="1">
      <c r="A351" s="1064"/>
      <c r="B351" s="1065"/>
      <c r="C351" s="26" t="s">
        <v>22</v>
      </c>
      <c r="D351" s="17">
        <f>E351+M351</f>
        <v>-36790</v>
      </c>
      <c r="E351" s="27">
        <f>F351+I351+J351+K351+L351</f>
        <v>0</v>
      </c>
      <c r="F351" s="27">
        <f>G351+H351</f>
        <v>0</v>
      </c>
      <c r="G351" s="27"/>
      <c r="H351" s="27"/>
      <c r="I351" s="27"/>
      <c r="J351" s="27"/>
      <c r="K351" s="27"/>
      <c r="L351" s="27"/>
      <c r="M351" s="27">
        <f>N351+P351</f>
        <v>-36790</v>
      </c>
      <c r="N351" s="27">
        <v>-36790</v>
      </c>
      <c r="O351" s="27">
        <v>-36790</v>
      </c>
      <c r="P351" s="27"/>
      <c r="Q351" s="55"/>
      <c r="R351" s="55"/>
      <c r="S351" s="56"/>
      <c r="T351" s="56"/>
      <c r="U351" s="56"/>
    </row>
    <row r="352" spans="1:21" s="57" customFormat="1">
      <c r="A352" s="1064"/>
      <c r="B352" s="1065"/>
      <c r="C352" s="26" t="s">
        <v>23</v>
      </c>
      <c r="D352" s="17">
        <f t="shared" ref="D352:P352" si="157">D350+D351</f>
        <v>24088</v>
      </c>
      <c r="E352" s="27">
        <f t="shared" si="157"/>
        <v>0</v>
      </c>
      <c r="F352" s="27">
        <f t="shared" si="157"/>
        <v>0</v>
      </c>
      <c r="G352" s="27">
        <f t="shared" si="157"/>
        <v>0</v>
      </c>
      <c r="H352" s="27">
        <f t="shared" si="157"/>
        <v>0</v>
      </c>
      <c r="I352" s="27">
        <f t="shared" si="157"/>
        <v>0</v>
      </c>
      <c r="J352" s="27">
        <f t="shared" si="157"/>
        <v>0</v>
      </c>
      <c r="K352" s="27">
        <f t="shared" si="157"/>
        <v>0</v>
      </c>
      <c r="L352" s="27">
        <f t="shared" si="157"/>
        <v>0</v>
      </c>
      <c r="M352" s="27">
        <f t="shared" si="157"/>
        <v>24088</v>
      </c>
      <c r="N352" s="27">
        <f t="shared" si="157"/>
        <v>24088</v>
      </c>
      <c r="O352" s="27">
        <f t="shared" si="157"/>
        <v>24088</v>
      </c>
      <c r="P352" s="27">
        <f t="shared" si="157"/>
        <v>0</v>
      </c>
      <c r="Q352" s="55"/>
      <c r="R352" s="55"/>
      <c r="S352" s="56"/>
      <c r="T352" s="56"/>
      <c r="U352" s="56"/>
    </row>
    <row r="353" spans="1:21" s="57" customFormat="1" ht="13.15" hidden="1" customHeight="1">
      <c r="A353" s="1064">
        <v>90002</v>
      </c>
      <c r="B353" s="1065" t="s">
        <v>190</v>
      </c>
      <c r="C353" s="26" t="s">
        <v>21</v>
      </c>
      <c r="D353" s="17">
        <f>E353+M353</f>
        <v>188146</v>
      </c>
      <c r="E353" s="27">
        <f>F353+I353+J353+K353+L353</f>
        <v>124528</v>
      </c>
      <c r="F353" s="27">
        <f>G353+H353</f>
        <v>124528</v>
      </c>
      <c r="G353" s="27">
        <v>0</v>
      </c>
      <c r="H353" s="27">
        <v>124528</v>
      </c>
      <c r="I353" s="27">
        <v>0</v>
      </c>
      <c r="J353" s="27">
        <v>0</v>
      </c>
      <c r="K353" s="27">
        <v>0</v>
      </c>
      <c r="L353" s="27">
        <v>0</v>
      </c>
      <c r="M353" s="27">
        <f>N353+P353</f>
        <v>63618</v>
      </c>
      <c r="N353" s="27">
        <v>63618</v>
      </c>
      <c r="O353" s="27">
        <v>63618</v>
      </c>
      <c r="P353" s="27">
        <v>0</v>
      </c>
      <c r="Q353" s="55"/>
      <c r="R353" s="55"/>
      <c r="S353" s="56"/>
      <c r="T353" s="56"/>
      <c r="U353" s="56"/>
    </row>
    <row r="354" spans="1:21" s="57" customFormat="1" hidden="1">
      <c r="A354" s="1064"/>
      <c r="B354" s="1065"/>
      <c r="C354" s="26" t="s">
        <v>22</v>
      </c>
      <c r="D354" s="17">
        <f>E354+M354</f>
        <v>0</v>
      </c>
      <c r="E354" s="27">
        <f>F354+I354+J354+K354+L354</f>
        <v>0</v>
      </c>
      <c r="F354" s="27">
        <f>G354+H354</f>
        <v>0</v>
      </c>
      <c r="G354" s="27"/>
      <c r="H354" s="27"/>
      <c r="I354" s="27"/>
      <c r="J354" s="27"/>
      <c r="K354" s="27"/>
      <c r="L354" s="27"/>
      <c r="M354" s="27">
        <f>N354+P354</f>
        <v>0</v>
      </c>
      <c r="N354" s="27"/>
      <c r="O354" s="27"/>
      <c r="P354" s="27"/>
      <c r="Q354" s="55"/>
      <c r="R354" s="55"/>
      <c r="S354" s="56"/>
      <c r="T354" s="56"/>
      <c r="U354" s="56"/>
    </row>
    <row r="355" spans="1:21" s="57" customFormat="1" hidden="1">
      <c r="A355" s="1064"/>
      <c r="B355" s="1065"/>
      <c r="C355" s="26" t="s">
        <v>23</v>
      </c>
      <c r="D355" s="17">
        <f t="shared" ref="D355:P355" si="158">D353+D354</f>
        <v>188146</v>
      </c>
      <c r="E355" s="27">
        <f t="shared" si="158"/>
        <v>124528</v>
      </c>
      <c r="F355" s="27">
        <f t="shared" si="158"/>
        <v>124528</v>
      </c>
      <c r="G355" s="27">
        <f t="shared" si="158"/>
        <v>0</v>
      </c>
      <c r="H355" s="27">
        <f t="shared" si="158"/>
        <v>124528</v>
      </c>
      <c r="I355" s="27">
        <f t="shared" si="158"/>
        <v>0</v>
      </c>
      <c r="J355" s="27">
        <f t="shared" si="158"/>
        <v>0</v>
      </c>
      <c r="K355" s="27">
        <f t="shared" si="158"/>
        <v>0</v>
      </c>
      <c r="L355" s="27">
        <f t="shared" si="158"/>
        <v>0</v>
      </c>
      <c r="M355" s="27">
        <f t="shared" si="158"/>
        <v>63618</v>
      </c>
      <c r="N355" s="27">
        <f t="shared" si="158"/>
        <v>63618</v>
      </c>
      <c r="O355" s="27">
        <f t="shared" si="158"/>
        <v>63618</v>
      </c>
      <c r="P355" s="27">
        <f t="shared" si="158"/>
        <v>0</v>
      </c>
      <c r="Q355" s="55"/>
      <c r="R355" s="55"/>
      <c r="S355" s="56"/>
      <c r="T355" s="56"/>
      <c r="U355" s="56"/>
    </row>
    <row r="356" spans="1:21" s="57" customFormat="1" ht="13.15" customHeight="1">
      <c r="A356" s="1064">
        <v>90005</v>
      </c>
      <c r="B356" s="1065" t="s">
        <v>191</v>
      </c>
      <c r="C356" s="26" t="s">
        <v>21</v>
      </c>
      <c r="D356" s="17">
        <f>E356+M356</f>
        <v>313413</v>
      </c>
      <c r="E356" s="27">
        <f>F356+I356+J356+K356+L356</f>
        <v>295000</v>
      </c>
      <c r="F356" s="27">
        <f>G356+H356</f>
        <v>295000</v>
      </c>
      <c r="G356" s="27">
        <v>0</v>
      </c>
      <c r="H356" s="27">
        <v>295000</v>
      </c>
      <c r="I356" s="27">
        <v>0</v>
      </c>
      <c r="J356" s="27">
        <v>0</v>
      </c>
      <c r="K356" s="27">
        <v>0</v>
      </c>
      <c r="L356" s="27">
        <v>0</v>
      </c>
      <c r="M356" s="27">
        <f>N356+P356</f>
        <v>18413</v>
      </c>
      <c r="N356" s="27">
        <v>18413</v>
      </c>
      <c r="O356" s="27">
        <v>0</v>
      </c>
      <c r="P356" s="27">
        <v>0</v>
      </c>
      <c r="Q356" s="55"/>
      <c r="R356" s="55"/>
      <c r="S356" s="56"/>
      <c r="T356" s="56"/>
      <c r="U356" s="56"/>
    </row>
    <row r="357" spans="1:21" s="57" customFormat="1">
      <c r="A357" s="1064"/>
      <c r="B357" s="1065"/>
      <c r="C357" s="26" t="s">
        <v>22</v>
      </c>
      <c r="D357" s="17">
        <f>E357+M357</f>
        <v>-8710</v>
      </c>
      <c r="E357" s="27">
        <f>F357+I357+J357+K357+L357</f>
        <v>0</v>
      </c>
      <c r="F357" s="27">
        <f>G357+H357</f>
        <v>0</v>
      </c>
      <c r="G357" s="27"/>
      <c r="H357" s="27"/>
      <c r="I357" s="27"/>
      <c r="J357" s="27"/>
      <c r="K357" s="27"/>
      <c r="L357" s="27"/>
      <c r="M357" s="27">
        <f>N357+P357</f>
        <v>-8710</v>
      </c>
      <c r="N357" s="27">
        <v>-8710</v>
      </c>
      <c r="O357" s="27"/>
      <c r="P357" s="27"/>
      <c r="Q357" s="55"/>
      <c r="R357" s="55"/>
      <c r="S357" s="56"/>
      <c r="T357" s="56"/>
      <c r="U357" s="56"/>
    </row>
    <row r="358" spans="1:21" s="57" customFormat="1">
      <c r="A358" s="1064"/>
      <c r="B358" s="1065"/>
      <c r="C358" s="26" t="s">
        <v>23</v>
      </c>
      <c r="D358" s="17">
        <f t="shared" ref="D358:P358" si="159">D356+D357</f>
        <v>304703</v>
      </c>
      <c r="E358" s="27">
        <f t="shared" si="159"/>
        <v>295000</v>
      </c>
      <c r="F358" s="27">
        <f t="shared" si="159"/>
        <v>295000</v>
      </c>
      <c r="G358" s="27">
        <f t="shared" si="159"/>
        <v>0</v>
      </c>
      <c r="H358" s="27">
        <f t="shared" si="159"/>
        <v>295000</v>
      </c>
      <c r="I358" s="27">
        <f t="shared" si="159"/>
        <v>0</v>
      </c>
      <c r="J358" s="27">
        <f t="shared" si="159"/>
        <v>0</v>
      </c>
      <c r="K358" s="27">
        <f t="shared" si="159"/>
        <v>0</v>
      </c>
      <c r="L358" s="27">
        <f t="shared" si="159"/>
        <v>0</v>
      </c>
      <c r="M358" s="27">
        <f t="shared" si="159"/>
        <v>9703</v>
      </c>
      <c r="N358" s="27">
        <f t="shared" si="159"/>
        <v>9703</v>
      </c>
      <c r="O358" s="27">
        <f t="shared" si="159"/>
        <v>0</v>
      </c>
      <c r="P358" s="27">
        <f t="shared" si="159"/>
        <v>0</v>
      </c>
      <c r="Q358" s="55"/>
      <c r="R358" s="55"/>
      <c r="S358" s="56"/>
      <c r="T358" s="56"/>
      <c r="U358" s="56"/>
    </row>
    <row r="359" spans="1:21" s="57" customFormat="1" ht="13.15" hidden="1" customHeight="1">
      <c r="A359" s="1064">
        <v>90007</v>
      </c>
      <c r="B359" s="1065" t="s">
        <v>192</v>
      </c>
      <c r="C359" s="26" t="s">
        <v>21</v>
      </c>
      <c r="D359" s="17">
        <f>E359+M359</f>
        <v>59000</v>
      </c>
      <c r="E359" s="27">
        <f>F359+I359+J359+K359+L359</f>
        <v>59000</v>
      </c>
      <c r="F359" s="27">
        <f>G359+H359</f>
        <v>59000</v>
      </c>
      <c r="G359" s="27">
        <v>0</v>
      </c>
      <c r="H359" s="27">
        <v>59000</v>
      </c>
      <c r="I359" s="27">
        <v>0</v>
      </c>
      <c r="J359" s="27">
        <v>0</v>
      </c>
      <c r="K359" s="27">
        <v>0</v>
      </c>
      <c r="L359" s="27">
        <v>0</v>
      </c>
      <c r="M359" s="27">
        <f>N359+P359</f>
        <v>0</v>
      </c>
      <c r="N359" s="27">
        <v>0</v>
      </c>
      <c r="O359" s="27">
        <v>0</v>
      </c>
      <c r="P359" s="27">
        <v>0</v>
      </c>
      <c r="Q359" s="55"/>
      <c r="R359" s="55"/>
      <c r="S359" s="56"/>
      <c r="T359" s="56"/>
      <c r="U359" s="56"/>
    </row>
    <row r="360" spans="1:21" s="57" customFormat="1" hidden="1">
      <c r="A360" s="1064"/>
      <c r="B360" s="1065"/>
      <c r="C360" s="26" t="s">
        <v>22</v>
      </c>
      <c r="D360" s="17">
        <f>E360+M360</f>
        <v>0</v>
      </c>
      <c r="E360" s="27">
        <f>F360+I360+J360+K360+L360</f>
        <v>0</v>
      </c>
      <c r="F360" s="27">
        <f>G360+H360</f>
        <v>0</v>
      </c>
      <c r="G360" s="27"/>
      <c r="H360" s="27"/>
      <c r="I360" s="27"/>
      <c r="J360" s="27"/>
      <c r="K360" s="27"/>
      <c r="L360" s="27"/>
      <c r="M360" s="27">
        <f>N360+P360</f>
        <v>0</v>
      </c>
      <c r="N360" s="27"/>
      <c r="O360" s="27"/>
      <c r="P360" s="27"/>
      <c r="Q360" s="55"/>
      <c r="R360" s="55"/>
      <c r="S360" s="56"/>
      <c r="T360" s="56"/>
      <c r="U360" s="56"/>
    </row>
    <row r="361" spans="1:21" s="57" customFormat="1" hidden="1">
      <c r="A361" s="1064"/>
      <c r="B361" s="1065"/>
      <c r="C361" s="26" t="s">
        <v>23</v>
      </c>
      <c r="D361" s="17">
        <f t="shared" ref="D361:P361" si="160">D359+D360</f>
        <v>59000</v>
      </c>
      <c r="E361" s="27">
        <f t="shared" si="160"/>
        <v>59000</v>
      </c>
      <c r="F361" s="27">
        <f t="shared" si="160"/>
        <v>59000</v>
      </c>
      <c r="G361" s="27">
        <f t="shared" si="160"/>
        <v>0</v>
      </c>
      <c r="H361" s="27">
        <f t="shared" si="160"/>
        <v>59000</v>
      </c>
      <c r="I361" s="27">
        <f t="shared" si="160"/>
        <v>0</v>
      </c>
      <c r="J361" s="27">
        <f t="shared" si="160"/>
        <v>0</v>
      </c>
      <c r="K361" s="27">
        <f t="shared" si="160"/>
        <v>0</v>
      </c>
      <c r="L361" s="27">
        <f t="shared" si="160"/>
        <v>0</v>
      </c>
      <c r="M361" s="27">
        <f t="shared" si="160"/>
        <v>0</v>
      </c>
      <c r="N361" s="27">
        <f t="shared" si="160"/>
        <v>0</v>
      </c>
      <c r="O361" s="27">
        <f t="shared" si="160"/>
        <v>0</v>
      </c>
      <c r="P361" s="27">
        <f t="shared" si="160"/>
        <v>0</v>
      </c>
      <c r="Q361" s="55"/>
      <c r="R361" s="55"/>
      <c r="S361" s="56"/>
      <c r="T361" s="56"/>
      <c r="U361" s="56"/>
    </row>
    <row r="362" spans="1:21" s="19" customFormat="1" ht="13.15" hidden="1" customHeight="1">
      <c r="A362" s="1064">
        <v>90019</v>
      </c>
      <c r="B362" s="1065" t="s">
        <v>193</v>
      </c>
      <c r="C362" s="26" t="s">
        <v>21</v>
      </c>
      <c r="D362" s="17">
        <f>E362+M362</f>
        <v>869873</v>
      </c>
      <c r="E362" s="27">
        <f>F362+I362+J362+K362+L362</f>
        <v>869873</v>
      </c>
      <c r="F362" s="27">
        <f>G362+H362</f>
        <v>869873</v>
      </c>
      <c r="G362" s="27">
        <v>647253</v>
      </c>
      <c r="H362" s="27">
        <v>222620</v>
      </c>
      <c r="I362" s="27">
        <v>0</v>
      </c>
      <c r="J362" s="27">
        <v>0</v>
      </c>
      <c r="K362" s="27">
        <v>0</v>
      </c>
      <c r="L362" s="27">
        <v>0</v>
      </c>
      <c r="M362" s="27">
        <f>N362+P362</f>
        <v>0</v>
      </c>
      <c r="N362" s="27">
        <v>0</v>
      </c>
      <c r="O362" s="27">
        <v>0</v>
      </c>
      <c r="P362" s="27">
        <v>0</v>
      </c>
      <c r="Q362" s="35"/>
      <c r="R362" s="35"/>
      <c r="S362" s="28"/>
      <c r="T362" s="28"/>
      <c r="U362" s="28"/>
    </row>
    <row r="363" spans="1:21" s="19" customFormat="1" hidden="1">
      <c r="A363" s="1064"/>
      <c r="B363" s="1065"/>
      <c r="C363" s="26" t="s">
        <v>22</v>
      </c>
      <c r="D363" s="17">
        <f>E363+M363</f>
        <v>0</v>
      </c>
      <c r="E363" s="27">
        <f>F363+I363+J363+K363+L363</f>
        <v>0</v>
      </c>
      <c r="F363" s="27">
        <f>G363+H363</f>
        <v>0</v>
      </c>
      <c r="G363" s="27"/>
      <c r="H363" s="27"/>
      <c r="I363" s="27"/>
      <c r="J363" s="27"/>
      <c r="K363" s="27"/>
      <c r="L363" s="27"/>
      <c r="M363" s="27">
        <f>N363+P363</f>
        <v>0</v>
      </c>
      <c r="N363" s="27"/>
      <c r="O363" s="27"/>
      <c r="P363" s="27"/>
      <c r="Q363" s="35"/>
      <c r="R363" s="35"/>
      <c r="S363" s="28"/>
      <c r="T363" s="28"/>
      <c r="U363" s="28"/>
    </row>
    <row r="364" spans="1:21" s="19" customFormat="1" hidden="1">
      <c r="A364" s="1064"/>
      <c r="B364" s="1065"/>
      <c r="C364" s="26" t="s">
        <v>23</v>
      </c>
      <c r="D364" s="17">
        <f t="shared" ref="D364:P364" si="161">D362+D363</f>
        <v>869873</v>
      </c>
      <c r="E364" s="27">
        <f t="shared" si="161"/>
        <v>869873</v>
      </c>
      <c r="F364" s="27">
        <f t="shared" si="161"/>
        <v>869873</v>
      </c>
      <c r="G364" s="27">
        <f t="shared" si="161"/>
        <v>647253</v>
      </c>
      <c r="H364" s="27">
        <f t="shared" si="161"/>
        <v>222620</v>
      </c>
      <c r="I364" s="27">
        <f t="shared" si="161"/>
        <v>0</v>
      </c>
      <c r="J364" s="27">
        <f t="shared" si="161"/>
        <v>0</v>
      </c>
      <c r="K364" s="27">
        <f t="shared" si="161"/>
        <v>0</v>
      </c>
      <c r="L364" s="27">
        <f t="shared" si="161"/>
        <v>0</v>
      </c>
      <c r="M364" s="27">
        <f t="shared" si="161"/>
        <v>0</v>
      </c>
      <c r="N364" s="27">
        <f t="shared" si="161"/>
        <v>0</v>
      </c>
      <c r="O364" s="27">
        <f t="shared" si="161"/>
        <v>0</v>
      </c>
      <c r="P364" s="27">
        <f t="shared" si="161"/>
        <v>0</v>
      </c>
      <c r="Q364" s="35"/>
      <c r="R364" s="35"/>
      <c r="S364" s="28"/>
      <c r="T364" s="28"/>
      <c r="U364" s="28"/>
    </row>
    <row r="365" spans="1:21" s="19" customFormat="1" ht="13.15" hidden="1" customHeight="1">
      <c r="A365" s="1064">
        <v>90020</v>
      </c>
      <c r="B365" s="1065" t="s">
        <v>194</v>
      </c>
      <c r="C365" s="26" t="s">
        <v>21</v>
      </c>
      <c r="D365" s="17">
        <f>E365+M365</f>
        <v>22480</v>
      </c>
      <c r="E365" s="27">
        <f>F365+I365+J365+K365+L365</f>
        <v>22480</v>
      </c>
      <c r="F365" s="27">
        <f>G365+H365</f>
        <v>22480</v>
      </c>
      <c r="G365" s="27">
        <v>16500</v>
      </c>
      <c r="H365" s="27">
        <v>5980</v>
      </c>
      <c r="I365" s="27">
        <v>0</v>
      </c>
      <c r="J365" s="27">
        <v>0</v>
      </c>
      <c r="K365" s="27">
        <v>0</v>
      </c>
      <c r="L365" s="27">
        <v>0</v>
      </c>
      <c r="M365" s="27">
        <f>N365+P365</f>
        <v>0</v>
      </c>
      <c r="N365" s="27">
        <v>0</v>
      </c>
      <c r="O365" s="27">
        <v>0</v>
      </c>
      <c r="P365" s="27">
        <v>0</v>
      </c>
      <c r="Q365" s="35"/>
      <c r="R365" s="35"/>
      <c r="S365" s="28"/>
      <c r="T365" s="28"/>
      <c r="U365" s="28"/>
    </row>
    <row r="366" spans="1:21" s="19" customFormat="1" hidden="1">
      <c r="A366" s="1064"/>
      <c r="B366" s="1065"/>
      <c r="C366" s="26" t="s">
        <v>22</v>
      </c>
      <c r="D366" s="17">
        <f>E366+M366</f>
        <v>0</v>
      </c>
      <c r="E366" s="27">
        <f>F366+I366+J366+K366+L366</f>
        <v>0</v>
      </c>
      <c r="F366" s="27">
        <f>G366+H366</f>
        <v>0</v>
      </c>
      <c r="G366" s="27"/>
      <c r="H366" s="27"/>
      <c r="I366" s="27"/>
      <c r="J366" s="27"/>
      <c r="K366" s="27"/>
      <c r="L366" s="27"/>
      <c r="M366" s="27">
        <f>N366+P366</f>
        <v>0</v>
      </c>
      <c r="N366" s="27"/>
      <c r="O366" s="27"/>
      <c r="P366" s="27"/>
      <c r="Q366" s="35"/>
      <c r="R366" s="35"/>
      <c r="S366" s="28"/>
      <c r="T366" s="28"/>
      <c r="U366" s="28"/>
    </row>
    <row r="367" spans="1:21" s="19" customFormat="1" hidden="1">
      <c r="A367" s="1064"/>
      <c r="B367" s="1065"/>
      <c r="C367" s="26" t="s">
        <v>23</v>
      </c>
      <c r="D367" s="17">
        <f t="shared" ref="D367:P367" si="162">D365+D366</f>
        <v>22480</v>
      </c>
      <c r="E367" s="27">
        <f t="shared" si="162"/>
        <v>22480</v>
      </c>
      <c r="F367" s="27">
        <f t="shared" si="162"/>
        <v>22480</v>
      </c>
      <c r="G367" s="27">
        <f t="shared" si="162"/>
        <v>16500</v>
      </c>
      <c r="H367" s="27">
        <f t="shared" si="162"/>
        <v>5980</v>
      </c>
      <c r="I367" s="27">
        <f t="shared" si="162"/>
        <v>0</v>
      </c>
      <c r="J367" s="27">
        <f t="shared" si="162"/>
        <v>0</v>
      </c>
      <c r="K367" s="27">
        <f t="shared" si="162"/>
        <v>0</v>
      </c>
      <c r="L367" s="27">
        <f t="shared" si="162"/>
        <v>0</v>
      </c>
      <c r="M367" s="27">
        <f t="shared" si="162"/>
        <v>0</v>
      </c>
      <c r="N367" s="27">
        <f t="shared" si="162"/>
        <v>0</v>
      </c>
      <c r="O367" s="27">
        <f t="shared" si="162"/>
        <v>0</v>
      </c>
      <c r="P367" s="27">
        <f t="shared" si="162"/>
        <v>0</v>
      </c>
      <c r="Q367" s="35"/>
      <c r="R367" s="35"/>
      <c r="S367" s="28"/>
      <c r="T367" s="28"/>
      <c r="U367" s="28"/>
    </row>
    <row r="368" spans="1:21" s="19" customFormat="1" ht="13.15" hidden="1" customHeight="1">
      <c r="A368" s="1064">
        <v>90024</v>
      </c>
      <c r="B368" s="1065" t="s">
        <v>195</v>
      </c>
      <c r="C368" s="26" t="s">
        <v>21</v>
      </c>
      <c r="D368" s="17">
        <f>E368+M368</f>
        <v>3510</v>
      </c>
      <c r="E368" s="27">
        <f>F368+I368+J368+K368+L368</f>
        <v>3510</v>
      </c>
      <c r="F368" s="27">
        <f>G368+H368</f>
        <v>3510</v>
      </c>
      <c r="G368" s="27">
        <v>0</v>
      </c>
      <c r="H368" s="27">
        <v>3510</v>
      </c>
      <c r="I368" s="27">
        <v>0</v>
      </c>
      <c r="J368" s="27">
        <v>0</v>
      </c>
      <c r="K368" s="27">
        <v>0</v>
      </c>
      <c r="L368" s="27">
        <v>0</v>
      </c>
      <c r="M368" s="27">
        <f>N368+P368</f>
        <v>0</v>
      </c>
      <c r="N368" s="27">
        <v>0</v>
      </c>
      <c r="O368" s="27">
        <v>0</v>
      </c>
      <c r="P368" s="27">
        <v>0</v>
      </c>
      <c r="Q368" s="35"/>
      <c r="R368" s="35"/>
      <c r="S368" s="28"/>
      <c r="T368" s="28"/>
      <c r="U368" s="28"/>
    </row>
    <row r="369" spans="1:21" s="19" customFormat="1" hidden="1">
      <c r="A369" s="1064"/>
      <c r="B369" s="1065"/>
      <c r="C369" s="26" t="s">
        <v>22</v>
      </c>
      <c r="D369" s="17">
        <f>E369+M369</f>
        <v>0</v>
      </c>
      <c r="E369" s="27">
        <f>F369+I369+J369+K369+L369</f>
        <v>0</v>
      </c>
      <c r="F369" s="27">
        <f>G369+H369</f>
        <v>0</v>
      </c>
      <c r="G369" s="27"/>
      <c r="H369" s="27"/>
      <c r="I369" s="27"/>
      <c r="J369" s="27"/>
      <c r="K369" s="27"/>
      <c r="L369" s="27"/>
      <c r="M369" s="27">
        <f>N369+P369</f>
        <v>0</v>
      </c>
      <c r="N369" s="27"/>
      <c r="O369" s="27"/>
      <c r="P369" s="27"/>
      <c r="Q369" s="35"/>
      <c r="R369" s="35"/>
      <c r="S369" s="28"/>
      <c r="T369" s="28"/>
      <c r="U369" s="28"/>
    </row>
    <row r="370" spans="1:21" s="19" customFormat="1" hidden="1">
      <c r="A370" s="1064"/>
      <c r="B370" s="1065"/>
      <c r="C370" s="26" t="s">
        <v>23</v>
      </c>
      <c r="D370" s="17">
        <f t="shared" ref="D370:P370" si="163">D368+D369</f>
        <v>3510</v>
      </c>
      <c r="E370" s="27">
        <f t="shared" si="163"/>
        <v>3510</v>
      </c>
      <c r="F370" s="27">
        <f t="shared" si="163"/>
        <v>3510</v>
      </c>
      <c r="G370" s="27">
        <f t="shared" si="163"/>
        <v>0</v>
      </c>
      <c r="H370" s="27">
        <f t="shared" si="163"/>
        <v>3510</v>
      </c>
      <c r="I370" s="27">
        <f t="shared" si="163"/>
        <v>0</v>
      </c>
      <c r="J370" s="27">
        <f t="shared" si="163"/>
        <v>0</v>
      </c>
      <c r="K370" s="27">
        <f t="shared" si="163"/>
        <v>0</v>
      </c>
      <c r="L370" s="27">
        <f t="shared" si="163"/>
        <v>0</v>
      </c>
      <c r="M370" s="27">
        <f t="shared" si="163"/>
        <v>0</v>
      </c>
      <c r="N370" s="27">
        <f t="shared" si="163"/>
        <v>0</v>
      </c>
      <c r="O370" s="27">
        <f t="shared" si="163"/>
        <v>0</v>
      </c>
      <c r="P370" s="27">
        <f t="shared" si="163"/>
        <v>0</v>
      </c>
      <c r="Q370" s="35"/>
      <c r="R370" s="35"/>
      <c r="S370" s="28"/>
      <c r="T370" s="28"/>
      <c r="U370" s="28"/>
    </row>
    <row r="371" spans="1:21" s="19" customFormat="1" ht="13.15" customHeight="1">
      <c r="A371" s="1064">
        <v>90026</v>
      </c>
      <c r="B371" s="1065" t="s">
        <v>196</v>
      </c>
      <c r="C371" s="26" t="s">
        <v>21</v>
      </c>
      <c r="D371" s="17">
        <f>E371+M371</f>
        <v>500300</v>
      </c>
      <c r="E371" s="27">
        <f>F371+I371+J371+K371+L371</f>
        <v>500300</v>
      </c>
      <c r="F371" s="27">
        <f>G371+H371</f>
        <v>200300</v>
      </c>
      <c r="G371" s="27">
        <v>104991</v>
      </c>
      <c r="H371" s="27">
        <v>95309</v>
      </c>
      <c r="I371" s="27">
        <v>0</v>
      </c>
      <c r="J371" s="27">
        <v>0</v>
      </c>
      <c r="K371" s="27">
        <v>300000</v>
      </c>
      <c r="L371" s="27">
        <v>0</v>
      </c>
      <c r="M371" s="27">
        <f>N371+P371</f>
        <v>0</v>
      </c>
      <c r="N371" s="27">
        <v>0</v>
      </c>
      <c r="O371" s="27">
        <v>0</v>
      </c>
      <c r="P371" s="27">
        <v>0</v>
      </c>
      <c r="Q371" s="35"/>
      <c r="R371" s="35"/>
      <c r="S371" s="28"/>
      <c r="T371" s="28"/>
      <c r="U371" s="28"/>
    </row>
    <row r="372" spans="1:21" s="19" customFormat="1">
      <c r="A372" s="1064"/>
      <c r="B372" s="1065"/>
      <c r="C372" s="26" t="s">
        <v>22</v>
      </c>
      <c r="D372" s="17">
        <f>E372+M372</f>
        <v>-50000</v>
      </c>
      <c r="E372" s="27">
        <f>F372+I372+J372+K372+L372</f>
        <v>-50000</v>
      </c>
      <c r="F372" s="27">
        <f>G372+H372</f>
        <v>-50000</v>
      </c>
      <c r="G372" s="27">
        <f>-34938-6006-856</f>
        <v>-41800</v>
      </c>
      <c r="H372" s="27">
        <f>-6200+4000-6000</f>
        <v>-8200</v>
      </c>
      <c r="I372" s="27"/>
      <c r="J372" s="27"/>
      <c r="K372" s="27"/>
      <c r="L372" s="27"/>
      <c r="M372" s="27">
        <f>N372+P372</f>
        <v>0</v>
      </c>
      <c r="N372" s="27"/>
      <c r="O372" s="27"/>
      <c r="P372" s="27"/>
      <c r="Q372" s="35"/>
      <c r="R372" s="35"/>
      <c r="S372" s="28"/>
      <c r="T372" s="28"/>
      <c r="U372" s="28"/>
    </row>
    <row r="373" spans="1:21" s="19" customFormat="1">
      <c r="A373" s="1064"/>
      <c r="B373" s="1065"/>
      <c r="C373" s="26" t="s">
        <v>23</v>
      </c>
      <c r="D373" s="17">
        <f t="shared" ref="D373:P373" si="164">D371+D372</f>
        <v>450300</v>
      </c>
      <c r="E373" s="27">
        <f t="shared" si="164"/>
        <v>450300</v>
      </c>
      <c r="F373" s="27">
        <f t="shared" si="164"/>
        <v>150300</v>
      </c>
      <c r="G373" s="27">
        <f t="shared" si="164"/>
        <v>63191</v>
      </c>
      <c r="H373" s="27">
        <f t="shared" si="164"/>
        <v>87109</v>
      </c>
      <c r="I373" s="27">
        <f t="shared" si="164"/>
        <v>0</v>
      </c>
      <c r="J373" s="27">
        <f t="shared" si="164"/>
        <v>0</v>
      </c>
      <c r="K373" s="27">
        <f t="shared" si="164"/>
        <v>300000</v>
      </c>
      <c r="L373" s="27">
        <f t="shared" si="164"/>
        <v>0</v>
      </c>
      <c r="M373" s="27">
        <f t="shared" si="164"/>
        <v>0</v>
      </c>
      <c r="N373" s="27">
        <f t="shared" si="164"/>
        <v>0</v>
      </c>
      <c r="O373" s="27">
        <f t="shared" si="164"/>
        <v>0</v>
      </c>
      <c r="P373" s="27">
        <f t="shared" si="164"/>
        <v>0</v>
      </c>
      <c r="Q373" s="35"/>
      <c r="R373" s="35"/>
      <c r="S373" s="28"/>
      <c r="T373" s="28"/>
      <c r="U373" s="28"/>
    </row>
    <row r="374" spans="1:21" s="57" customFormat="1" ht="13.15" customHeight="1">
      <c r="A374" s="1064">
        <v>90095</v>
      </c>
      <c r="B374" s="1065" t="s">
        <v>37</v>
      </c>
      <c r="C374" s="26" t="s">
        <v>21</v>
      </c>
      <c r="D374" s="17">
        <f>E374+M374</f>
        <v>10500610</v>
      </c>
      <c r="E374" s="27">
        <f>F374+I374+J374+K374+L374</f>
        <v>2685154</v>
      </c>
      <c r="F374" s="27">
        <f>G374+H374</f>
        <v>1037100</v>
      </c>
      <c r="G374" s="27">
        <v>706379</v>
      </c>
      <c r="H374" s="27">
        <v>330721</v>
      </c>
      <c r="I374" s="27">
        <v>0</v>
      </c>
      <c r="J374" s="27">
        <v>0</v>
      </c>
      <c r="K374" s="27">
        <v>1648054</v>
      </c>
      <c r="L374" s="27">
        <v>0</v>
      </c>
      <c r="M374" s="27">
        <f>N374+P374</f>
        <v>7815456</v>
      </c>
      <c r="N374" s="27">
        <v>4815456</v>
      </c>
      <c r="O374" s="27">
        <v>4815456</v>
      </c>
      <c r="P374" s="27">
        <v>3000000</v>
      </c>
      <c r="Q374" s="55"/>
      <c r="R374" s="55"/>
      <c r="S374" s="56"/>
      <c r="T374" s="56"/>
      <c r="U374" s="56"/>
    </row>
    <row r="375" spans="1:21" s="57" customFormat="1">
      <c r="A375" s="1064"/>
      <c r="B375" s="1065"/>
      <c r="C375" s="26" t="s">
        <v>22</v>
      </c>
      <c r="D375" s="17">
        <f>E375+M375</f>
        <v>-3319238</v>
      </c>
      <c r="E375" s="27">
        <f>F375+I375+J375+K375+L375</f>
        <v>-104335</v>
      </c>
      <c r="F375" s="27">
        <f>G375+H375</f>
        <v>-97080</v>
      </c>
      <c r="G375" s="27"/>
      <c r="H375" s="27">
        <v>-97080</v>
      </c>
      <c r="I375" s="27"/>
      <c r="J375" s="27"/>
      <c r="K375" s="27">
        <v>-7255</v>
      </c>
      <c r="L375" s="27"/>
      <c r="M375" s="27">
        <f>N375+P375</f>
        <v>-3214903</v>
      </c>
      <c r="N375" s="27">
        <f>174595-3398208+8710</f>
        <v>-3214903</v>
      </c>
      <c r="O375" s="27">
        <f>174595-3398208</f>
        <v>-3223613</v>
      </c>
      <c r="P375" s="27"/>
      <c r="Q375" s="55"/>
      <c r="R375" s="55"/>
      <c r="S375" s="56"/>
      <c r="T375" s="56"/>
      <c r="U375" s="56"/>
    </row>
    <row r="376" spans="1:21" s="57" customFormat="1">
      <c r="A376" s="1064"/>
      <c r="B376" s="1065"/>
      <c r="C376" s="26" t="s">
        <v>23</v>
      </c>
      <c r="D376" s="17">
        <f t="shared" ref="D376:P376" si="165">D374+D375</f>
        <v>7181372</v>
      </c>
      <c r="E376" s="27">
        <f t="shared" si="165"/>
        <v>2580819</v>
      </c>
      <c r="F376" s="27">
        <f t="shared" si="165"/>
        <v>940020</v>
      </c>
      <c r="G376" s="27">
        <f t="shared" si="165"/>
        <v>706379</v>
      </c>
      <c r="H376" s="27">
        <f t="shared" si="165"/>
        <v>233641</v>
      </c>
      <c r="I376" s="27">
        <f t="shared" si="165"/>
        <v>0</v>
      </c>
      <c r="J376" s="27">
        <f t="shared" si="165"/>
        <v>0</v>
      </c>
      <c r="K376" s="27">
        <f t="shared" si="165"/>
        <v>1640799</v>
      </c>
      <c r="L376" s="27">
        <f t="shared" si="165"/>
        <v>0</v>
      </c>
      <c r="M376" s="27">
        <f t="shared" si="165"/>
        <v>4600553</v>
      </c>
      <c r="N376" s="27">
        <f t="shared" si="165"/>
        <v>1600553</v>
      </c>
      <c r="O376" s="27">
        <f t="shared" si="165"/>
        <v>1591843</v>
      </c>
      <c r="P376" s="27">
        <f t="shared" si="165"/>
        <v>3000000</v>
      </c>
      <c r="Q376" s="55"/>
      <c r="R376" s="55"/>
      <c r="S376" s="56"/>
      <c r="T376" s="56"/>
      <c r="U376" s="56"/>
    </row>
    <row r="377" spans="1:21" s="45" customFormat="1" ht="18.600000000000001" customHeight="1">
      <c r="A377" s="1062">
        <v>921</v>
      </c>
      <c r="B377" s="1063" t="s">
        <v>197</v>
      </c>
      <c r="C377" s="42" t="s">
        <v>21</v>
      </c>
      <c r="D377" s="30">
        <f t="shared" ref="D377:P377" si="166">D383+D386+D389+D392+D395+D398+D401+D407+D404+D380</f>
        <v>153578923</v>
      </c>
      <c r="E377" s="31">
        <f t="shared" si="166"/>
        <v>112464450</v>
      </c>
      <c r="F377" s="31">
        <f t="shared" si="166"/>
        <v>4050915</v>
      </c>
      <c r="G377" s="31">
        <f t="shared" si="166"/>
        <v>139400</v>
      </c>
      <c r="H377" s="31">
        <f t="shared" si="166"/>
        <v>3911515</v>
      </c>
      <c r="I377" s="31">
        <f t="shared" si="166"/>
        <v>91708064</v>
      </c>
      <c r="J377" s="31">
        <f t="shared" si="166"/>
        <v>450600</v>
      </c>
      <c r="K377" s="31">
        <f t="shared" si="166"/>
        <v>16254871</v>
      </c>
      <c r="L377" s="31">
        <f t="shared" si="166"/>
        <v>0</v>
      </c>
      <c r="M377" s="31">
        <f t="shared" si="166"/>
        <v>41114473</v>
      </c>
      <c r="N377" s="31">
        <f t="shared" si="166"/>
        <v>41114473</v>
      </c>
      <c r="O377" s="31">
        <f t="shared" si="166"/>
        <v>16616190</v>
      </c>
      <c r="P377" s="31">
        <f t="shared" si="166"/>
        <v>0</v>
      </c>
      <c r="Q377" s="43"/>
      <c r="R377" s="43"/>
      <c r="S377" s="44"/>
      <c r="T377" s="44"/>
      <c r="U377" s="44"/>
    </row>
    <row r="378" spans="1:21" s="45" customFormat="1" ht="18.600000000000001" customHeight="1">
      <c r="A378" s="1062"/>
      <c r="B378" s="1063"/>
      <c r="C378" s="42" t="s">
        <v>22</v>
      </c>
      <c r="D378" s="30">
        <f t="shared" ref="D378:P378" si="167">D384+D387+D390+D393+D396+D399+D402+D408+D405+D381</f>
        <v>-19895922</v>
      </c>
      <c r="E378" s="31">
        <f t="shared" si="167"/>
        <v>-1647195</v>
      </c>
      <c r="F378" s="31">
        <f t="shared" si="167"/>
        <v>-730337</v>
      </c>
      <c r="G378" s="31">
        <f t="shared" si="167"/>
        <v>0</v>
      </c>
      <c r="H378" s="31">
        <f t="shared" si="167"/>
        <v>-730337</v>
      </c>
      <c r="I378" s="31">
        <f t="shared" si="167"/>
        <v>447319</v>
      </c>
      <c r="J378" s="31">
        <f t="shared" si="167"/>
        <v>-26000</v>
      </c>
      <c r="K378" s="31">
        <f t="shared" si="167"/>
        <v>-1338177</v>
      </c>
      <c r="L378" s="31">
        <f t="shared" si="167"/>
        <v>0</v>
      </c>
      <c r="M378" s="31">
        <f t="shared" si="167"/>
        <v>-18248727</v>
      </c>
      <c r="N378" s="31">
        <f t="shared" si="167"/>
        <v>-18248727</v>
      </c>
      <c r="O378" s="31">
        <f t="shared" si="167"/>
        <v>-10235192</v>
      </c>
      <c r="P378" s="31">
        <f t="shared" si="167"/>
        <v>0</v>
      </c>
      <c r="Q378" s="43"/>
      <c r="R378" s="43"/>
      <c r="S378" s="44"/>
      <c r="T378" s="44"/>
      <c r="U378" s="44"/>
    </row>
    <row r="379" spans="1:21" s="45" customFormat="1" ht="18.600000000000001" customHeight="1">
      <c r="A379" s="1062"/>
      <c r="B379" s="1063"/>
      <c r="C379" s="42" t="s">
        <v>23</v>
      </c>
      <c r="D379" s="30">
        <f t="shared" ref="D379:P379" si="168">D377+D378</f>
        <v>133683001</v>
      </c>
      <c r="E379" s="31">
        <f t="shared" si="168"/>
        <v>110817255</v>
      </c>
      <c r="F379" s="31">
        <f t="shared" si="168"/>
        <v>3320578</v>
      </c>
      <c r="G379" s="31">
        <f t="shared" si="168"/>
        <v>139400</v>
      </c>
      <c r="H379" s="31">
        <f t="shared" si="168"/>
        <v>3181178</v>
      </c>
      <c r="I379" s="31">
        <f t="shared" si="168"/>
        <v>92155383</v>
      </c>
      <c r="J379" s="31">
        <f t="shared" si="168"/>
        <v>424600</v>
      </c>
      <c r="K379" s="31">
        <f t="shared" si="168"/>
        <v>14916694</v>
      </c>
      <c r="L379" s="31">
        <f t="shared" si="168"/>
        <v>0</v>
      </c>
      <c r="M379" s="31">
        <f t="shared" si="168"/>
        <v>22865746</v>
      </c>
      <c r="N379" s="31">
        <f t="shared" si="168"/>
        <v>22865746</v>
      </c>
      <c r="O379" s="31">
        <f t="shared" si="168"/>
        <v>6380998</v>
      </c>
      <c r="P379" s="31">
        <f t="shared" si="168"/>
        <v>0</v>
      </c>
      <c r="Q379" s="43"/>
      <c r="R379" s="43"/>
      <c r="S379" s="44"/>
      <c r="T379" s="44"/>
      <c r="U379" s="44"/>
    </row>
    <row r="380" spans="1:21" s="57" customFormat="1" ht="13.15" hidden="1" customHeight="1">
      <c r="A380" s="1064">
        <v>92105</v>
      </c>
      <c r="B380" s="1065" t="s">
        <v>198</v>
      </c>
      <c r="C380" s="26" t="s">
        <v>21</v>
      </c>
      <c r="D380" s="17">
        <f>E380+M380</f>
        <v>230000</v>
      </c>
      <c r="E380" s="27">
        <f>F380+I380+J380+K380+L380</f>
        <v>230000</v>
      </c>
      <c r="F380" s="27">
        <f>G380+H380</f>
        <v>0</v>
      </c>
      <c r="G380" s="27">
        <v>0</v>
      </c>
      <c r="H380" s="27">
        <v>0</v>
      </c>
      <c r="I380" s="27">
        <v>230000</v>
      </c>
      <c r="J380" s="27">
        <v>0</v>
      </c>
      <c r="K380" s="27">
        <v>0</v>
      </c>
      <c r="L380" s="27">
        <v>0</v>
      </c>
      <c r="M380" s="27">
        <f>N380+P380</f>
        <v>0</v>
      </c>
      <c r="N380" s="27">
        <v>0</v>
      </c>
      <c r="O380" s="27">
        <v>0</v>
      </c>
      <c r="P380" s="27">
        <v>0</v>
      </c>
      <c r="Q380" s="55"/>
      <c r="R380" s="55"/>
      <c r="S380" s="56"/>
      <c r="T380" s="56"/>
      <c r="U380" s="56"/>
    </row>
    <row r="381" spans="1:21" s="57" customFormat="1" hidden="1">
      <c r="A381" s="1064"/>
      <c r="B381" s="1065"/>
      <c r="C381" s="26" t="s">
        <v>22</v>
      </c>
      <c r="D381" s="17">
        <f>E381+M381</f>
        <v>0</v>
      </c>
      <c r="E381" s="27">
        <f>F381+I381+J381+K381+L381</f>
        <v>0</v>
      </c>
      <c r="F381" s="27">
        <f>G381+H381</f>
        <v>0</v>
      </c>
      <c r="G381" s="27"/>
      <c r="H381" s="27"/>
      <c r="I381" s="27"/>
      <c r="J381" s="27"/>
      <c r="K381" s="27"/>
      <c r="L381" s="27"/>
      <c r="M381" s="27">
        <f>N381+P381</f>
        <v>0</v>
      </c>
      <c r="N381" s="27"/>
      <c r="O381" s="27"/>
      <c r="P381" s="27"/>
      <c r="Q381" s="55"/>
      <c r="R381" s="55"/>
      <c r="S381" s="56"/>
      <c r="T381" s="56"/>
      <c r="U381" s="56"/>
    </row>
    <row r="382" spans="1:21" s="57" customFormat="1" hidden="1">
      <c r="A382" s="1064"/>
      <c r="B382" s="1065"/>
      <c r="C382" s="26" t="s">
        <v>23</v>
      </c>
      <c r="D382" s="17">
        <f t="shared" ref="D382:P382" si="169">D380+D381</f>
        <v>230000</v>
      </c>
      <c r="E382" s="27">
        <f t="shared" si="169"/>
        <v>230000</v>
      </c>
      <c r="F382" s="27">
        <f t="shared" si="169"/>
        <v>0</v>
      </c>
      <c r="G382" s="27">
        <f t="shared" si="169"/>
        <v>0</v>
      </c>
      <c r="H382" s="27">
        <f t="shared" si="169"/>
        <v>0</v>
      </c>
      <c r="I382" s="27">
        <f t="shared" si="169"/>
        <v>230000</v>
      </c>
      <c r="J382" s="27">
        <f t="shared" si="169"/>
        <v>0</v>
      </c>
      <c r="K382" s="27">
        <f t="shared" si="169"/>
        <v>0</v>
      </c>
      <c r="L382" s="27">
        <f t="shared" si="169"/>
        <v>0</v>
      </c>
      <c r="M382" s="27">
        <f t="shared" si="169"/>
        <v>0</v>
      </c>
      <c r="N382" s="27">
        <f t="shared" si="169"/>
        <v>0</v>
      </c>
      <c r="O382" s="27">
        <f t="shared" si="169"/>
        <v>0</v>
      </c>
      <c r="P382" s="27">
        <f t="shared" si="169"/>
        <v>0</v>
      </c>
      <c r="Q382" s="55"/>
      <c r="R382" s="55"/>
      <c r="S382" s="56"/>
      <c r="T382" s="56"/>
      <c r="U382" s="56"/>
    </row>
    <row r="383" spans="1:21" s="57" customFormat="1" ht="13.15" customHeight="1">
      <c r="A383" s="1064">
        <v>92106</v>
      </c>
      <c r="B383" s="1065" t="s">
        <v>199</v>
      </c>
      <c r="C383" s="26" t="s">
        <v>21</v>
      </c>
      <c r="D383" s="17">
        <f>E383+M383</f>
        <v>41375038</v>
      </c>
      <c r="E383" s="27">
        <f>F383+I383+J383+K383+L383</f>
        <v>30107360</v>
      </c>
      <c r="F383" s="27">
        <f>G383+H383</f>
        <v>0</v>
      </c>
      <c r="G383" s="27">
        <v>0</v>
      </c>
      <c r="H383" s="27">
        <v>0</v>
      </c>
      <c r="I383" s="27">
        <v>30107360</v>
      </c>
      <c r="J383" s="27">
        <v>0</v>
      </c>
      <c r="K383" s="27">
        <v>0</v>
      </c>
      <c r="L383" s="27">
        <v>0</v>
      </c>
      <c r="M383" s="27">
        <f>N383+P383</f>
        <v>11267678</v>
      </c>
      <c r="N383" s="27">
        <v>11267678</v>
      </c>
      <c r="O383" s="27">
        <v>0</v>
      </c>
      <c r="P383" s="27">
        <v>0</v>
      </c>
      <c r="Q383" s="55"/>
      <c r="R383" s="55"/>
      <c r="S383" s="56"/>
      <c r="T383" s="56"/>
      <c r="U383" s="56"/>
    </row>
    <row r="384" spans="1:21" s="57" customFormat="1">
      <c r="A384" s="1064"/>
      <c r="B384" s="1065"/>
      <c r="C384" s="26" t="s">
        <v>22</v>
      </c>
      <c r="D384" s="17">
        <f>E384+M384</f>
        <v>1145342</v>
      </c>
      <c r="E384" s="27">
        <f>F384+I384+J384+K384+L384</f>
        <v>286688</v>
      </c>
      <c r="F384" s="27">
        <f>G384+H384</f>
        <v>0</v>
      </c>
      <c r="G384" s="27"/>
      <c r="H384" s="27"/>
      <c r="I384" s="27">
        <v>286688</v>
      </c>
      <c r="J384" s="27"/>
      <c r="K384" s="27"/>
      <c r="L384" s="27"/>
      <c r="M384" s="27">
        <f>N384+P384</f>
        <v>858654</v>
      </c>
      <c r="N384" s="27">
        <v>858654</v>
      </c>
      <c r="O384" s="27"/>
      <c r="P384" s="27"/>
      <c r="Q384" s="55"/>
      <c r="R384" s="55"/>
      <c r="S384" s="56"/>
      <c r="T384" s="56"/>
      <c r="U384" s="56"/>
    </row>
    <row r="385" spans="1:21" s="57" customFormat="1">
      <c r="A385" s="1064"/>
      <c r="B385" s="1065"/>
      <c r="C385" s="26" t="s">
        <v>23</v>
      </c>
      <c r="D385" s="17">
        <f t="shared" ref="D385:P385" si="170">D383+D384</f>
        <v>42520380</v>
      </c>
      <c r="E385" s="27">
        <f t="shared" si="170"/>
        <v>30394048</v>
      </c>
      <c r="F385" s="27">
        <f t="shared" si="170"/>
        <v>0</v>
      </c>
      <c r="G385" s="27">
        <f t="shared" si="170"/>
        <v>0</v>
      </c>
      <c r="H385" s="27">
        <f t="shared" si="170"/>
        <v>0</v>
      </c>
      <c r="I385" s="27">
        <f t="shared" si="170"/>
        <v>30394048</v>
      </c>
      <c r="J385" s="27">
        <f t="shared" si="170"/>
        <v>0</v>
      </c>
      <c r="K385" s="27">
        <f t="shared" si="170"/>
        <v>0</v>
      </c>
      <c r="L385" s="27">
        <f t="shared" si="170"/>
        <v>0</v>
      </c>
      <c r="M385" s="27">
        <f t="shared" si="170"/>
        <v>12126332</v>
      </c>
      <c r="N385" s="27">
        <f t="shared" si="170"/>
        <v>12126332</v>
      </c>
      <c r="O385" s="27">
        <f t="shared" si="170"/>
        <v>0</v>
      </c>
      <c r="P385" s="27">
        <f t="shared" si="170"/>
        <v>0</v>
      </c>
      <c r="Q385" s="55"/>
      <c r="R385" s="55"/>
      <c r="S385" s="56"/>
      <c r="T385" s="56"/>
      <c r="U385" s="56"/>
    </row>
    <row r="386" spans="1:21" s="57" customFormat="1" ht="13.15" customHeight="1">
      <c r="A386" s="1064">
        <v>92108</v>
      </c>
      <c r="B386" s="1065" t="s">
        <v>200</v>
      </c>
      <c r="C386" s="26" t="s">
        <v>21</v>
      </c>
      <c r="D386" s="17">
        <f>E386+M386</f>
        <v>10690570</v>
      </c>
      <c r="E386" s="27">
        <f>F386+I386+J386+K386+L386</f>
        <v>9949497</v>
      </c>
      <c r="F386" s="27">
        <f>G386+H386</f>
        <v>0</v>
      </c>
      <c r="G386" s="27">
        <v>0</v>
      </c>
      <c r="H386" s="27">
        <v>0</v>
      </c>
      <c r="I386" s="27">
        <v>9949497</v>
      </c>
      <c r="J386" s="27">
        <v>0</v>
      </c>
      <c r="K386" s="27">
        <v>0</v>
      </c>
      <c r="L386" s="27">
        <v>0</v>
      </c>
      <c r="M386" s="27">
        <f>N386+P386</f>
        <v>741073</v>
      </c>
      <c r="N386" s="27">
        <v>741073</v>
      </c>
      <c r="O386" s="27">
        <v>0</v>
      </c>
      <c r="P386" s="27">
        <v>0</v>
      </c>
      <c r="Q386" s="55"/>
      <c r="R386" s="55"/>
      <c r="S386" s="56"/>
      <c r="T386" s="56"/>
      <c r="U386" s="56"/>
    </row>
    <row r="387" spans="1:21" s="57" customFormat="1">
      <c r="A387" s="1064"/>
      <c r="B387" s="1065"/>
      <c r="C387" s="26" t="s">
        <v>22</v>
      </c>
      <c r="D387" s="17">
        <f>E387+M387</f>
        <v>99300</v>
      </c>
      <c r="E387" s="27">
        <f>F387+I387+J387+K387+L387</f>
        <v>99300</v>
      </c>
      <c r="F387" s="27">
        <f>G387+H387</f>
        <v>0</v>
      </c>
      <c r="G387" s="27"/>
      <c r="H387" s="27"/>
      <c r="I387" s="27">
        <v>99300</v>
      </c>
      <c r="J387" s="27"/>
      <c r="K387" s="27"/>
      <c r="L387" s="27"/>
      <c r="M387" s="27">
        <f>N387+P387</f>
        <v>0</v>
      </c>
      <c r="N387" s="27"/>
      <c r="O387" s="27"/>
      <c r="P387" s="27"/>
      <c r="Q387" s="55"/>
      <c r="R387" s="55"/>
      <c r="S387" s="56"/>
      <c r="T387" s="56"/>
      <c r="U387" s="56"/>
    </row>
    <row r="388" spans="1:21" s="57" customFormat="1">
      <c r="A388" s="1064"/>
      <c r="B388" s="1065"/>
      <c r="C388" s="26" t="s">
        <v>23</v>
      </c>
      <c r="D388" s="17">
        <f t="shared" ref="D388:P388" si="171">D386+D387</f>
        <v>10789870</v>
      </c>
      <c r="E388" s="27">
        <f t="shared" si="171"/>
        <v>10048797</v>
      </c>
      <c r="F388" s="27">
        <f t="shared" si="171"/>
        <v>0</v>
      </c>
      <c r="G388" s="27">
        <f t="shared" si="171"/>
        <v>0</v>
      </c>
      <c r="H388" s="27">
        <f t="shared" si="171"/>
        <v>0</v>
      </c>
      <c r="I388" s="27">
        <f t="shared" si="171"/>
        <v>10048797</v>
      </c>
      <c r="J388" s="27">
        <f t="shared" si="171"/>
        <v>0</v>
      </c>
      <c r="K388" s="27">
        <f t="shared" si="171"/>
        <v>0</v>
      </c>
      <c r="L388" s="27">
        <f t="shared" si="171"/>
        <v>0</v>
      </c>
      <c r="M388" s="27">
        <f t="shared" si="171"/>
        <v>741073</v>
      </c>
      <c r="N388" s="27">
        <f t="shared" si="171"/>
        <v>741073</v>
      </c>
      <c r="O388" s="27">
        <f t="shared" si="171"/>
        <v>0</v>
      </c>
      <c r="P388" s="27">
        <f t="shared" si="171"/>
        <v>0</v>
      </c>
      <c r="Q388" s="55"/>
      <c r="R388" s="55"/>
      <c r="S388" s="56"/>
      <c r="T388" s="56"/>
      <c r="U388" s="56"/>
    </row>
    <row r="389" spans="1:21" s="57" customFormat="1" ht="13.15" customHeight="1">
      <c r="A389" s="1064">
        <v>92109</v>
      </c>
      <c r="B389" s="1065" t="s">
        <v>201</v>
      </c>
      <c r="C389" s="26" t="s">
        <v>21</v>
      </c>
      <c r="D389" s="17">
        <f>E389+M389</f>
        <v>7387202</v>
      </c>
      <c r="E389" s="27">
        <f>F389+I389+J389+K389+L389</f>
        <v>7132442</v>
      </c>
      <c r="F389" s="27">
        <f>G389+H389</f>
        <v>0</v>
      </c>
      <c r="G389" s="27">
        <v>0</v>
      </c>
      <c r="H389" s="27">
        <v>0</v>
      </c>
      <c r="I389" s="27">
        <v>7132442</v>
      </c>
      <c r="J389" s="27">
        <v>0</v>
      </c>
      <c r="K389" s="27">
        <v>0</v>
      </c>
      <c r="L389" s="27">
        <v>0</v>
      </c>
      <c r="M389" s="27">
        <f>N389+P389</f>
        <v>254760</v>
      </c>
      <c r="N389" s="27">
        <v>254760</v>
      </c>
      <c r="O389" s="27">
        <v>0</v>
      </c>
      <c r="P389" s="27">
        <v>0</v>
      </c>
      <c r="Q389" s="55"/>
      <c r="R389" s="55"/>
      <c r="S389" s="56"/>
      <c r="T389" s="56"/>
      <c r="U389" s="56"/>
    </row>
    <row r="390" spans="1:21" s="57" customFormat="1">
      <c r="A390" s="1064"/>
      <c r="B390" s="1065"/>
      <c r="C390" s="26" t="s">
        <v>22</v>
      </c>
      <c r="D390" s="17">
        <f>E390+M390</f>
        <v>362375</v>
      </c>
      <c r="E390" s="27">
        <f>F390+I390+J390+K390+L390</f>
        <v>119375</v>
      </c>
      <c r="F390" s="27">
        <f>G390+H390</f>
        <v>0</v>
      </c>
      <c r="G390" s="27"/>
      <c r="H390" s="27"/>
      <c r="I390" s="27">
        <v>119375</v>
      </c>
      <c r="J390" s="27"/>
      <c r="K390" s="27"/>
      <c r="L390" s="27"/>
      <c r="M390" s="27">
        <f>N390+P390</f>
        <v>243000</v>
      </c>
      <c r="N390" s="27">
        <v>243000</v>
      </c>
      <c r="O390" s="27"/>
      <c r="P390" s="27"/>
      <c r="Q390" s="55"/>
      <c r="R390" s="55"/>
      <c r="S390" s="56"/>
      <c r="T390" s="56"/>
      <c r="U390" s="56"/>
    </row>
    <row r="391" spans="1:21" s="57" customFormat="1">
      <c r="A391" s="1064"/>
      <c r="B391" s="1065"/>
      <c r="C391" s="26" t="s">
        <v>23</v>
      </c>
      <c r="D391" s="17">
        <f t="shared" ref="D391:P391" si="172">D389+D390</f>
        <v>7749577</v>
      </c>
      <c r="E391" s="27">
        <f t="shared" si="172"/>
        <v>7251817</v>
      </c>
      <c r="F391" s="27">
        <f t="shared" si="172"/>
        <v>0</v>
      </c>
      <c r="G391" s="27">
        <f t="shared" si="172"/>
        <v>0</v>
      </c>
      <c r="H391" s="27">
        <f t="shared" si="172"/>
        <v>0</v>
      </c>
      <c r="I391" s="27">
        <f t="shared" si="172"/>
        <v>7251817</v>
      </c>
      <c r="J391" s="27">
        <f t="shared" si="172"/>
        <v>0</v>
      </c>
      <c r="K391" s="27">
        <f t="shared" si="172"/>
        <v>0</v>
      </c>
      <c r="L391" s="27">
        <f t="shared" si="172"/>
        <v>0</v>
      </c>
      <c r="M391" s="27">
        <f t="shared" si="172"/>
        <v>497760</v>
      </c>
      <c r="N391" s="27">
        <f t="shared" si="172"/>
        <v>497760</v>
      </c>
      <c r="O391" s="27">
        <f t="shared" si="172"/>
        <v>0</v>
      </c>
      <c r="P391" s="27">
        <f t="shared" si="172"/>
        <v>0</v>
      </c>
      <c r="Q391" s="55"/>
      <c r="R391" s="55"/>
      <c r="S391" s="56"/>
      <c r="T391" s="56"/>
      <c r="U391" s="56"/>
    </row>
    <row r="392" spans="1:21" s="57" customFormat="1" ht="13.15" customHeight="1">
      <c r="A392" s="1064">
        <v>92110</v>
      </c>
      <c r="B392" s="1065" t="s">
        <v>202</v>
      </c>
      <c r="C392" s="26" t="s">
        <v>21</v>
      </c>
      <c r="D392" s="17">
        <f>E392+M392</f>
        <v>2454300</v>
      </c>
      <c r="E392" s="27">
        <f>F392+I392+J392+K392+L392</f>
        <v>2454300</v>
      </c>
      <c r="F392" s="27">
        <f>G392+H392</f>
        <v>0</v>
      </c>
      <c r="G392" s="27">
        <v>0</v>
      </c>
      <c r="H392" s="27">
        <v>0</v>
      </c>
      <c r="I392" s="27">
        <v>2454300</v>
      </c>
      <c r="J392" s="27">
        <v>0</v>
      </c>
      <c r="K392" s="27">
        <v>0</v>
      </c>
      <c r="L392" s="27">
        <v>0</v>
      </c>
      <c r="M392" s="27">
        <f>N392+P392</f>
        <v>0</v>
      </c>
      <c r="N392" s="27">
        <v>0</v>
      </c>
      <c r="O392" s="27">
        <v>0</v>
      </c>
      <c r="P392" s="27">
        <v>0</v>
      </c>
      <c r="Q392" s="55"/>
      <c r="R392" s="55"/>
      <c r="S392" s="56"/>
      <c r="T392" s="56"/>
      <c r="U392" s="56"/>
    </row>
    <row r="393" spans="1:21" s="57" customFormat="1">
      <c r="A393" s="1064"/>
      <c r="B393" s="1065"/>
      <c r="C393" s="26" t="s">
        <v>22</v>
      </c>
      <c r="D393" s="17">
        <f>E393+M393</f>
        <v>32107</v>
      </c>
      <c r="E393" s="27">
        <f>F393+I393+J393+K393+L393</f>
        <v>32107</v>
      </c>
      <c r="F393" s="27">
        <f>G393+H393</f>
        <v>0</v>
      </c>
      <c r="G393" s="27"/>
      <c r="H393" s="27"/>
      <c r="I393" s="27">
        <v>32107</v>
      </c>
      <c r="J393" s="27"/>
      <c r="K393" s="27"/>
      <c r="L393" s="27"/>
      <c r="M393" s="27">
        <f>N393+P393</f>
        <v>0</v>
      </c>
      <c r="N393" s="27"/>
      <c r="O393" s="27"/>
      <c r="P393" s="27"/>
      <c r="Q393" s="55"/>
      <c r="R393" s="55"/>
      <c r="S393" s="56"/>
      <c r="T393" s="56"/>
      <c r="U393" s="56"/>
    </row>
    <row r="394" spans="1:21" s="57" customFormat="1">
      <c r="A394" s="1064"/>
      <c r="B394" s="1065"/>
      <c r="C394" s="26" t="s">
        <v>23</v>
      </c>
      <c r="D394" s="17">
        <f t="shared" ref="D394:P394" si="173">D392+D393</f>
        <v>2486407</v>
      </c>
      <c r="E394" s="27">
        <f t="shared" si="173"/>
        <v>2486407</v>
      </c>
      <c r="F394" s="27">
        <f t="shared" si="173"/>
        <v>0</v>
      </c>
      <c r="G394" s="27">
        <f t="shared" si="173"/>
        <v>0</v>
      </c>
      <c r="H394" s="27">
        <f t="shared" si="173"/>
        <v>0</v>
      </c>
      <c r="I394" s="27">
        <f t="shared" si="173"/>
        <v>2486407</v>
      </c>
      <c r="J394" s="27">
        <f t="shared" si="173"/>
        <v>0</v>
      </c>
      <c r="K394" s="27">
        <f t="shared" si="173"/>
        <v>0</v>
      </c>
      <c r="L394" s="27">
        <f t="shared" si="173"/>
        <v>0</v>
      </c>
      <c r="M394" s="27">
        <f t="shared" si="173"/>
        <v>0</v>
      </c>
      <c r="N394" s="27">
        <f t="shared" si="173"/>
        <v>0</v>
      </c>
      <c r="O394" s="27">
        <f t="shared" si="173"/>
        <v>0</v>
      </c>
      <c r="P394" s="27">
        <f t="shared" si="173"/>
        <v>0</v>
      </c>
      <c r="Q394" s="55"/>
      <c r="R394" s="55"/>
      <c r="S394" s="56"/>
      <c r="T394" s="56"/>
      <c r="U394" s="56"/>
    </row>
    <row r="395" spans="1:21" s="57" customFormat="1" ht="13.15" hidden="1" customHeight="1">
      <c r="A395" s="1064">
        <v>92113</v>
      </c>
      <c r="B395" s="1065" t="s">
        <v>203</v>
      </c>
      <c r="C395" s="26" t="s">
        <v>21</v>
      </c>
      <c r="D395" s="17">
        <f>E395+M395</f>
        <v>1299500</v>
      </c>
      <c r="E395" s="27">
        <f>F395+I395+J395+K395+L395</f>
        <v>1299500</v>
      </c>
      <c r="F395" s="27">
        <f>G395+H395</f>
        <v>0</v>
      </c>
      <c r="G395" s="27">
        <v>0</v>
      </c>
      <c r="H395" s="27">
        <v>0</v>
      </c>
      <c r="I395" s="27">
        <v>1299500</v>
      </c>
      <c r="J395" s="27">
        <v>0</v>
      </c>
      <c r="K395" s="27">
        <v>0</v>
      </c>
      <c r="L395" s="27">
        <v>0</v>
      </c>
      <c r="M395" s="27">
        <f>N395+P395</f>
        <v>0</v>
      </c>
      <c r="N395" s="27">
        <v>0</v>
      </c>
      <c r="O395" s="27">
        <v>0</v>
      </c>
      <c r="P395" s="27">
        <v>0</v>
      </c>
      <c r="Q395" s="55"/>
      <c r="R395" s="55"/>
      <c r="S395" s="56"/>
      <c r="T395" s="56"/>
      <c r="U395" s="56"/>
    </row>
    <row r="396" spans="1:21" s="57" customFormat="1" hidden="1">
      <c r="A396" s="1064"/>
      <c r="B396" s="1065"/>
      <c r="C396" s="26" t="s">
        <v>22</v>
      </c>
      <c r="D396" s="17">
        <f>E396+M396</f>
        <v>0</v>
      </c>
      <c r="E396" s="27">
        <f>F396+I396+J396+K396+L396</f>
        <v>0</v>
      </c>
      <c r="F396" s="27">
        <f>G396+H396</f>
        <v>0</v>
      </c>
      <c r="G396" s="27"/>
      <c r="H396" s="27"/>
      <c r="I396" s="27"/>
      <c r="J396" s="27"/>
      <c r="K396" s="27"/>
      <c r="L396" s="27"/>
      <c r="M396" s="27">
        <f>N396+P396</f>
        <v>0</v>
      </c>
      <c r="N396" s="27"/>
      <c r="O396" s="27"/>
      <c r="P396" s="27"/>
      <c r="Q396" s="55"/>
      <c r="R396" s="55"/>
      <c r="S396" s="56"/>
      <c r="T396" s="56"/>
      <c r="U396" s="56"/>
    </row>
    <row r="397" spans="1:21" s="57" customFormat="1" hidden="1">
      <c r="A397" s="1064"/>
      <c r="B397" s="1065"/>
      <c r="C397" s="26" t="s">
        <v>23</v>
      </c>
      <c r="D397" s="17">
        <f t="shared" ref="D397:P397" si="174">D395+D396</f>
        <v>1299500</v>
      </c>
      <c r="E397" s="27">
        <f t="shared" si="174"/>
        <v>1299500</v>
      </c>
      <c r="F397" s="27">
        <f t="shared" si="174"/>
        <v>0</v>
      </c>
      <c r="G397" s="27">
        <f t="shared" si="174"/>
        <v>0</v>
      </c>
      <c r="H397" s="27">
        <f t="shared" si="174"/>
        <v>0</v>
      </c>
      <c r="I397" s="27">
        <f t="shared" si="174"/>
        <v>1299500</v>
      </c>
      <c r="J397" s="27">
        <f t="shared" si="174"/>
        <v>0</v>
      </c>
      <c r="K397" s="27">
        <f t="shared" si="174"/>
        <v>0</v>
      </c>
      <c r="L397" s="27">
        <f t="shared" si="174"/>
        <v>0</v>
      </c>
      <c r="M397" s="27">
        <f t="shared" si="174"/>
        <v>0</v>
      </c>
      <c r="N397" s="27">
        <f t="shared" si="174"/>
        <v>0</v>
      </c>
      <c r="O397" s="27">
        <f t="shared" si="174"/>
        <v>0</v>
      </c>
      <c r="P397" s="27">
        <f t="shared" si="174"/>
        <v>0</v>
      </c>
      <c r="Q397" s="55"/>
      <c r="R397" s="55"/>
      <c r="S397" s="56"/>
      <c r="T397" s="56"/>
      <c r="U397" s="56"/>
    </row>
    <row r="398" spans="1:21" s="57" customFormat="1" ht="13.15" customHeight="1">
      <c r="A398" s="1064">
        <v>92116</v>
      </c>
      <c r="B398" s="1065" t="s">
        <v>204</v>
      </c>
      <c r="C398" s="26" t="s">
        <v>21</v>
      </c>
      <c r="D398" s="17">
        <f>E398+M398</f>
        <v>22199581</v>
      </c>
      <c r="E398" s="27">
        <f>F398+I398+J398+K398+L398</f>
        <v>21820681</v>
      </c>
      <c r="F398" s="27">
        <f>G398+H398</f>
        <v>0</v>
      </c>
      <c r="G398" s="27">
        <v>0</v>
      </c>
      <c r="H398" s="27">
        <v>0</v>
      </c>
      <c r="I398" s="27">
        <v>21820681</v>
      </c>
      <c r="J398" s="27">
        <v>0</v>
      </c>
      <c r="K398" s="27">
        <v>0</v>
      </c>
      <c r="L398" s="27">
        <v>0</v>
      </c>
      <c r="M398" s="27">
        <f>N398+P398</f>
        <v>378900</v>
      </c>
      <c r="N398" s="27">
        <v>378900</v>
      </c>
      <c r="O398" s="27">
        <v>51631</v>
      </c>
      <c r="P398" s="27">
        <v>0</v>
      </c>
      <c r="Q398" s="55"/>
      <c r="R398" s="55"/>
      <c r="S398" s="56"/>
      <c r="T398" s="56"/>
      <c r="U398" s="56"/>
    </row>
    <row r="399" spans="1:21" s="57" customFormat="1">
      <c r="A399" s="1064"/>
      <c r="B399" s="1065"/>
      <c r="C399" s="26" t="s">
        <v>22</v>
      </c>
      <c r="D399" s="17">
        <f>E399+M399</f>
        <v>199396</v>
      </c>
      <c r="E399" s="27">
        <f>F399+I399+J399+K399+L399</f>
        <v>199396</v>
      </c>
      <c r="F399" s="27">
        <f>G399+H399</f>
        <v>0</v>
      </c>
      <c r="G399" s="27"/>
      <c r="H399" s="27"/>
      <c r="I399" s="27">
        <v>199396</v>
      </c>
      <c r="J399" s="27"/>
      <c r="K399" s="27"/>
      <c r="L399" s="27"/>
      <c r="M399" s="27">
        <f>N399+P399</f>
        <v>0</v>
      </c>
      <c r="N399" s="27"/>
      <c r="O399" s="27"/>
      <c r="P399" s="27"/>
      <c r="Q399" s="55"/>
      <c r="R399" s="55"/>
      <c r="S399" s="56"/>
      <c r="T399" s="56"/>
      <c r="U399" s="56"/>
    </row>
    <row r="400" spans="1:21" s="57" customFormat="1">
      <c r="A400" s="1064"/>
      <c r="B400" s="1065"/>
      <c r="C400" s="26" t="s">
        <v>23</v>
      </c>
      <c r="D400" s="17">
        <f t="shared" ref="D400:P400" si="175">D398+D399</f>
        <v>22398977</v>
      </c>
      <c r="E400" s="27">
        <f t="shared" si="175"/>
        <v>22020077</v>
      </c>
      <c r="F400" s="27">
        <f t="shared" si="175"/>
        <v>0</v>
      </c>
      <c r="G400" s="27">
        <f t="shared" si="175"/>
        <v>0</v>
      </c>
      <c r="H400" s="27">
        <f t="shared" si="175"/>
        <v>0</v>
      </c>
      <c r="I400" s="27">
        <f t="shared" si="175"/>
        <v>22020077</v>
      </c>
      <c r="J400" s="27">
        <f t="shared" si="175"/>
        <v>0</v>
      </c>
      <c r="K400" s="27">
        <f t="shared" si="175"/>
        <v>0</v>
      </c>
      <c r="L400" s="27">
        <f t="shared" si="175"/>
        <v>0</v>
      </c>
      <c r="M400" s="27">
        <f t="shared" si="175"/>
        <v>378900</v>
      </c>
      <c r="N400" s="27">
        <f t="shared" si="175"/>
        <v>378900</v>
      </c>
      <c r="O400" s="27">
        <f t="shared" si="175"/>
        <v>51631</v>
      </c>
      <c r="P400" s="27">
        <f t="shared" si="175"/>
        <v>0</v>
      </c>
      <c r="Q400" s="55"/>
      <c r="R400" s="55"/>
      <c r="S400" s="56"/>
      <c r="T400" s="56"/>
      <c r="U400" s="56"/>
    </row>
    <row r="401" spans="1:21" s="57" customFormat="1" ht="13.15" customHeight="1">
      <c r="A401" s="1064">
        <v>92118</v>
      </c>
      <c r="B401" s="1065" t="s">
        <v>205</v>
      </c>
      <c r="C401" s="26" t="s">
        <v>21</v>
      </c>
      <c r="D401" s="17">
        <f>E401+M401</f>
        <v>16850205</v>
      </c>
      <c r="E401" s="27">
        <f>F401+I401+J401+K401+L401</f>
        <v>15863597</v>
      </c>
      <c r="F401" s="27">
        <f>G401+H401</f>
        <v>0</v>
      </c>
      <c r="G401" s="27">
        <v>0</v>
      </c>
      <c r="H401" s="27">
        <v>0</v>
      </c>
      <c r="I401" s="27">
        <v>15863597</v>
      </c>
      <c r="J401" s="27">
        <v>0</v>
      </c>
      <c r="K401" s="27">
        <v>0</v>
      </c>
      <c r="L401" s="27">
        <v>0</v>
      </c>
      <c r="M401" s="27">
        <f>N401+P401</f>
        <v>986608</v>
      </c>
      <c r="N401" s="27">
        <v>986608</v>
      </c>
      <c r="O401" s="27">
        <v>0</v>
      </c>
      <c r="P401" s="27">
        <v>0</v>
      </c>
      <c r="Q401" s="55"/>
      <c r="R401" s="55"/>
      <c r="S401" s="56"/>
      <c r="T401" s="56"/>
      <c r="U401" s="56"/>
    </row>
    <row r="402" spans="1:21" s="57" customFormat="1">
      <c r="A402" s="1064"/>
      <c r="B402" s="1065"/>
      <c r="C402" s="26" t="s">
        <v>22</v>
      </c>
      <c r="D402" s="17">
        <f>E402+M402</f>
        <v>37513</v>
      </c>
      <c r="E402" s="27">
        <f>F402+I402+J402+K402+L402</f>
        <v>37513</v>
      </c>
      <c r="F402" s="27">
        <f>G402+H402</f>
        <v>0</v>
      </c>
      <c r="G402" s="27"/>
      <c r="H402" s="27"/>
      <c r="I402" s="27">
        <v>37513</v>
      </c>
      <c r="J402" s="27"/>
      <c r="K402" s="27"/>
      <c r="L402" s="27"/>
      <c r="M402" s="27">
        <f>N402+P402</f>
        <v>0</v>
      </c>
      <c r="N402" s="27"/>
      <c r="O402" s="27"/>
      <c r="P402" s="27"/>
      <c r="Q402" s="55"/>
      <c r="R402" s="55"/>
      <c r="S402" s="56"/>
      <c r="T402" s="56"/>
      <c r="U402" s="56"/>
    </row>
    <row r="403" spans="1:21" s="57" customFormat="1">
      <c r="A403" s="1064"/>
      <c r="B403" s="1065"/>
      <c r="C403" s="26" t="s">
        <v>23</v>
      </c>
      <c r="D403" s="17">
        <f t="shared" ref="D403:P403" si="176">D401+D402</f>
        <v>16887718</v>
      </c>
      <c r="E403" s="27">
        <f t="shared" si="176"/>
        <v>15901110</v>
      </c>
      <c r="F403" s="27">
        <f t="shared" si="176"/>
        <v>0</v>
      </c>
      <c r="G403" s="27">
        <f t="shared" si="176"/>
        <v>0</v>
      </c>
      <c r="H403" s="27">
        <f t="shared" si="176"/>
        <v>0</v>
      </c>
      <c r="I403" s="27">
        <f t="shared" si="176"/>
        <v>15901110</v>
      </c>
      <c r="J403" s="27">
        <f t="shared" si="176"/>
        <v>0</v>
      </c>
      <c r="K403" s="27">
        <f t="shared" si="176"/>
        <v>0</v>
      </c>
      <c r="L403" s="27">
        <f t="shared" si="176"/>
        <v>0</v>
      </c>
      <c r="M403" s="27">
        <f t="shared" si="176"/>
        <v>986608</v>
      </c>
      <c r="N403" s="27">
        <f t="shared" si="176"/>
        <v>986608</v>
      </c>
      <c r="O403" s="27">
        <f t="shared" si="176"/>
        <v>0</v>
      </c>
      <c r="P403" s="27">
        <f t="shared" si="176"/>
        <v>0</v>
      </c>
      <c r="Q403" s="55"/>
      <c r="R403" s="55"/>
      <c r="S403" s="56"/>
      <c r="T403" s="56"/>
      <c r="U403" s="56"/>
    </row>
    <row r="404" spans="1:21" s="57" customFormat="1" ht="15.6" customHeight="1">
      <c r="A404" s="1064">
        <v>92120</v>
      </c>
      <c r="B404" s="1065" t="s">
        <v>206</v>
      </c>
      <c r="C404" s="26" t="s">
        <v>21</v>
      </c>
      <c r="D404" s="17">
        <f>E404+M404</f>
        <v>12134179</v>
      </c>
      <c r="E404" s="27">
        <f>F404+I404+J404+K404+L404</f>
        <v>12134179</v>
      </c>
      <c r="F404" s="27">
        <f>G404+H404</f>
        <v>61900</v>
      </c>
      <c r="G404" s="27">
        <v>9400</v>
      </c>
      <c r="H404" s="27">
        <v>52500</v>
      </c>
      <c r="I404" s="27">
        <v>970687</v>
      </c>
      <c r="J404" s="27">
        <v>0</v>
      </c>
      <c r="K404" s="27">
        <v>11101592</v>
      </c>
      <c r="L404" s="27">
        <v>0</v>
      </c>
      <c r="M404" s="27">
        <f>N404+P404</f>
        <v>0</v>
      </c>
      <c r="N404" s="27">
        <v>0</v>
      </c>
      <c r="O404" s="27">
        <v>0</v>
      </c>
      <c r="P404" s="27">
        <v>0</v>
      </c>
      <c r="Q404" s="55"/>
      <c r="R404" s="55"/>
      <c r="S404" s="56"/>
      <c r="T404" s="56"/>
      <c r="U404" s="56"/>
    </row>
    <row r="405" spans="1:21" s="57" customFormat="1" ht="15.6" customHeight="1">
      <c r="A405" s="1064"/>
      <c r="B405" s="1065"/>
      <c r="C405" s="26" t="s">
        <v>22</v>
      </c>
      <c r="D405" s="17">
        <f>E405+M405</f>
        <v>-470648</v>
      </c>
      <c r="E405" s="27">
        <f>F405+I405+J405+K405+L405</f>
        <v>-470648</v>
      </c>
      <c r="F405" s="27">
        <f>G405+H405</f>
        <v>0</v>
      </c>
      <c r="G405" s="27"/>
      <c r="H405" s="27"/>
      <c r="I405" s="27"/>
      <c r="J405" s="27"/>
      <c r="K405" s="27">
        <v>-470648</v>
      </c>
      <c r="L405" s="27"/>
      <c r="M405" s="27">
        <f>N405+P405</f>
        <v>0</v>
      </c>
      <c r="N405" s="27"/>
      <c r="O405" s="27"/>
      <c r="P405" s="27"/>
      <c r="Q405" s="55"/>
      <c r="R405" s="55"/>
      <c r="S405" s="56"/>
      <c r="T405" s="56"/>
      <c r="U405" s="56"/>
    </row>
    <row r="406" spans="1:21" s="57" customFormat="1" ht="15.6" customHeight="1">
      <c r="A406" s="1064"/>
      <c r="B406" s="1065"/>
      <c r="C406" s="26" t="s">
        <v>23</v>
      </c>
      <c r="D406" s="17">
        <f t="shared" ref="D406:P406" si="177">D404+D405</f>
        <v>11663531</v>
      </c>
      <c r="E406" s="27">
        <f t="shared" si="177"/>
        <v>11663531</v>
      </c>
      <c r="F406" s="27">
        <f t="shared" si="177"/>
        <v>61900</v>
      </c>
      <c r="G406" s="27">
        <f t="shared" si="177"/>
        <v>9400</v>
      </c>
      <c r="H406" s="27">
        <f t="shared" si="177"/>
        <v>52500</v>
      </c>
      <c r="I406" s="27">
        <f t="shared" si="177"/>
        <v>970687</v>
      </c>
      <c r="J406" s="27">
        <f t="shared" si="177"/>
        <v>0</v>
      </c>
      <c r="K406" s="27">
        <f t="shared" si="177"/>
        <v>10630944</v>
      </c>
      <c r="L406" s="27">
        <f t="shared" si="177"/>
        <v>0</v>
      </c>
      <c r="M406" s="27">
        <f t="shared" si="177"/>
        <v>0</v>
      </c>
      <c r="N406" s="27">
        <f t="shared" si="177"/>
        <v>0</v>
      </c>
      <c r="O406" s="27">
        <f t="shared" si="177"/>
        <v>0</v>
      </c>
      <c r="P406" s="27">
        <f t="shared" si="177"/>
        <v>0</v>
      </c>
      <c r="Q406" s="55"/>
      <c r="R406" s="55"/>
      <c r="S406" s="56"/>
      <c r="T406" s="56"/>
      <c r="U406" s="56"/>
    </row>
    <row r="407" spans="1:21" s="57" customFormat="1" ht="13.15" customHeight="1">
      <c r="A407" s="1064">
        <v>92195</v>
      </c>
      <c r="B407" s="1065" t="s">
        <v>37</v>
      </c>
      <c r="C407" s="26" t="s">
        <v>21</v>
      </c>
      <c r="D407" s="17">
        <f>E407+M407</f>
        <v>38958348</v>
      </c>
      <c r="E407" s="27">
        <f>F407+I407+J407+K407+L407</f>
        <v>11472894</v>
      </c>
      <c r="F407" s="27">
        <f>G407+H407</f>
        <v>3989015</v>
      </c>
      <c r="G407" s="27">
        <v>130000</v>
      </c>
      <c r="H407" s="27">
        <v>3859015</v>
      </c>
      <c r="I407" s="27">
        <v>1880000</v>
      </c>
      <c r="J407" s="27">
        <v>450600</v>
      </c>
      <c r="K407" s="27">
        <v>5153279</v>
      </c>
      <c r="L407" s="27">
        <v>0</v>
      </c>
      <c r="M407" s="27">
        <f>N407+P407</f>
        <v>27485454</v>
      </c>
      <c r="N407" s="27">
        <v>27485454</v>
      </c>
      <c r="O407" s="27">
        <v>16564559</v>
      </c>
      <c r="P407" s="27">
        <v>0</v>
      </c>
      <c r="Q407" s="55"/>
      <c r="R407" s="55"/>
      <c r="S407" s="56"/>
      <c r="T407" s="56"/>
      <c r="U407" s="56"/>
    </row>
    <row r="408" spans="1:21" s="57" customFormat="1">
      <c r="A408" s="1064"/>
      <c r="B408" s="1065"/>
      <c r="C408" s="26" t="s">
        <v>22</v>
      </c>
      <c r="D408" s="17">
        <f>E408+M408</f>
        <v>-21301307</v>
      </c>
      <c r="E408" s="27">
        <f>F408+I408+J408+K408+L408</f>
        <v>-1950926</v>
      </c>
      <c r="F408" s="27">
        <f>G408+H408</f>
        <v>-730337</v>
      </c>
      <c r="G408" s="27"/>
      <c r="H408" s="27">
        <f>-12500-15612-702225</f>
        <v>-730337</v>
      </c>
      <c r="I408" s="27">
        <f>-227605-55000-44455</f>
        <v>-327060</v>
      </c>
      <c r="J408" s="27">
        <v>-26000</v>
      </c>
      <c r="K408" s="27">
        <f>-867529</f>
        <v>-867529</v>
      </c>
      <c r="L408" s="27"/>
      <c r="M408" s="27">
        <f>N408+P408</f>
        <v>-19350381</v>
      </c>
      <c r="N408" s="27">
        <f>-9115189-8960179-1275013</f>
        <v>-19350381</v>
      </c>
      <c r="O408" s="27">
        <f>-8960179-1275013</f>
        <v>-10235192</v>
      </c>
      <c r="P408" s="27"/>
      <c r="Q408" s="55"/>
      <c r="R408" s="55"/>
      <c r="S408" s="56"/>
      <c r="T408" s="56"/>
      <c r="U408" s="56"/>
    </row>
    <row r="409" spans="1:21" s="57" customFormat="1">
      <c r="A409" s="1064"/>
      <c r="B409" s="1065"/>
      <c r="C409" s="26" t="s">
        <v>23</v>
      </c>
      <c r="D409" s="17">
        <f t="shared" ref="D409:P409" si="178">D407+D408</f>
        <v>17657041</v>
      </c>
      <c r="E409" s="27">
        <f t="shared" si="178"/>
        <v>9521968</v>
      </c>
      <c r="F409" s="27">
        <f t="shared" si="178"/>
        <v>3258678</v>
      </c>
      <c r="G409" s="27">
        <f t="shared" si="178"/>
        <v>130000</v>
      </c>
      <c r="H409" s="27">
        <f t="shared" si="178"/>
        <v>3128678</v>
      </c>
      <c r="I409" s="27">
        <f t="shared" si="178"/>
        <v>1552940</v>
      </c>
      <c r="J409" s="27">
        <f t="shared" si="178"/>
        <v>424600</v>
      </c>
      <c r="K409" s="27">
        <f t="shared" si="178"/>
        <v>4285750</v>
      </c>
      <c r="L409" s="27">
        <f t="shared" si="178"/>
        <v>0</v>
      </c>
      <c r="M409" s="27">
        <f t="shared" si="178"/>
        <v>8135073</v>
      </c>
      <c r="N409" s="27">
        <f t="shared" si="178"/>
        <v>8135073</v>
      </c>
      <c r="O409" s="27">
        <f t="shared" si="178"/>
        <v>6329367</v>
      </c>
      <c r="P409" s="27">
        <f t="shared" si="178"/>
        <v>0</v>
      </c>
      <c r="Q409" s="55"/>
      <c r="R409" s="55"/>
      <c r="S409" s="56"/>
      <c r="T409" s="56"/>
      <c r="U409" s="56"/>
    </row>
    <row r="410" spans="1:21" s="45" customFormat="1" ht="25.5" customHeight="1">
      <c r="A410" s="1062">
        <v>925</v>
      </c>
      <c r="B410" s="1063" t="s">
        <v>207</v>
      </c>
      <c r="C410" s="42" t="s">
        <v>21</v>
      </c>
      <c r="D410" s="30">
        <f t="shared" ref="D410:P410" si="179">D413</f>
        <v>13678640</v>
      </c>
      <c r="E410" s="31">
        <f t="shared" si="179"/>
        <v>5780318</v>
      </c>
      <c r="F410" s="31">
        <f t="shared" si="179"/>
        <v>4839463</v>
      </c>
      <c r="G410" s="31">
        <f t="shared" si="179"/>
        <v>3490167</v>
      </c>
      <c r="H410" s="31">
        <f t="shared" si="179"/>
        <v>1349296</v>
      </c>
      <c r="I410" s="31">
        <f t="shared" si="179"/>
        <v>0</v>
      </c>
      <c r="J410" s="31">
        <f t="shared" si="179"/>
        <v>91500</v>
      </c>
      <c r="K410" s="31">
        <f t="shared" si="179"/>
        <v>849355</v>
      </c>
      <c r="L410" s="31">
        <f t="shared" si="179"/>
        <v>0</v>
      </c>
      <c r="M410" s="31">
        <f t="shared" si="179"/>
        <v>7898322</v>
      </c>
      <c r="N410" s="31">
        <f t="shared" si="179"/>
        <v>7898322</v>
      </c>
      <c r="O410" s="31">
        <f t="shared" si="179"/>
        <v>7744062</v>
      </c>
      <c r="P410" s="31">
        <f t="shared" si="179"/>
        <v>0</v>
      </c>
      <c r="Q410" s="43"/>
      <c r="R410" s="43"/>
      <c r="S410" s="44"/>
      <c r="T410" s="44"/>
      <c r="U410" s="44"/>
    </row>
    <row r="411" spans="1:21" s="45" customFormat="1" ht="25.5" customHeight="1">
      <c r="A411" s="1062"/>
      <c r="B411" s="1063"/>
      <c r="C411" s="42" t="s">
        <v>22</v>
      </c>
      <c r="D411" s="30">
        <f t="shared" ref="D411:P411" si="180">D414</f>
        <v>73771</v>
      </c>
      <c r="E411" s="31">
        <f t="shared" si="180"/>
        <v>73771</v>
      </c>
      <c r="F411" s="31">
        <f t="shared" si="180"/>
        <v>73771</v>
      </c>
      <c r="G411" s="31">
        <f t="shared" si="180"/>
        <v>36419</v>
      </c>
      <c r="H411" s="31">
        <f t="shared" si="180"/>
        <v>37352</v>
      </c>
      <c r="I411" s="31">
        <f t="shared" si="180"/>
        <v>0</v>
      </c>
      <c r="J411" s="31">
        <f t="shared" si="180"/>
        <v>0</v>
      </c>
      <c r="K411" s="31">
        <f t="shared" si="180"/>
        <v>0</v>
      </c>
      <c r="L411" s="31">
        <f t="shared" si="180"/>
        <v>0</v>
      </c>
      <c r="M411" s="31">
        <f t="shared" si="180"/>
        <v>0</v>
      </c>
      <c r="N411" s="31">
        <f t="shared" si="180"/>
        <v>0</v>
      </c>
      <c r="O411" s="31">
        <f t="shared" si="180"/>
        <v>0</v>
      </c>
      <c r="P411" s="31">
        <f t="shared" si="180"/>
        <v>0</v>
      </c>
      <c r="Q411" s="43"/>
      <c r="R411" s="43"/>
      <c r="S411" s="44"/>
      <c r="T411" s="44"/>
      <c r="U411" s="44"/>
    </row>
    <row r="412" spans="1:21" s="45" customFormat="1" ht="25.5" customHeight="1">
      <c r="A412" s="1062"/>
      <c r="B412" s="1063"/>
      <c r="C412" s="42" t="s">
        <v>23</v>
      </c>
      <c r="D412" s="30">
        <f t="shared" ref="D412:P412" si="181">D415</f>
        <v>13752411</v>
      </c>
      <c r="E412" s="31">
        <f t="shared" si="181"/>
        <v>5854089</v>
      </c>
      <c r="F412" s="31">
        <f t="shared" si="181"/>
        <v>4913234</v>
      </c>
      <c r="G412" s="31">
        <f t="shared" si="181"/>
        <v>3526586</v>
      </c>
      <c r="H412" s="31">
        <f t="shared" si="181"/>
        <v>1386648</v>
      </c>
      <c r="I412" s="31">
        <f t="shared" si="181"/>
        <v>0</v>
      </c>
      <c r="J412" s="31">
        <f t="shared" si="181"/>
        <v>91500</v>
      </c>
      <c r="K412" s="31">
        <f t="shared" si="181"/>
        <v>849355</v>
      </c>
      <c r="L412" s="31">
        <f t="shared" si="181"/>
        <v>0</v>
      </c>
      <c r="M412" s="31">
        <f t="shared" si="181"/>
        <v>7898322</v>
      </c>
      <c r="N412" s="31">
        <f t="shared" si="181"/>
        <v>7898322</v>
      </c>
      <c r="O412" s="31">
        <f t="shared" si="181"/>
        <v>7744062</v>
      </c>
      <c r="P412" s="31">
        <f t="shared" si="181"/>
        <v>0</v>
      </c>
      <c r="Q412" s="43"/>
      <c r="R412" s="43"/>
      <c r="S412" s="44"/>
      <c r="T412" s="44"/>
      <c r="U412" s="44"/>
    </row>
    <row r="413" spans="1:21" s="57" customFormat="1" ht="13.15" customHeight="1">
      <c r="A413" s="1064">
        <v>92502</v>
      </c>
      <c r="B413" s="1065" t="s">
        <v>208</v>
      </c>
      <c r="C413" s="26" t="s">
        <v>21</v>
      </c>
      <c r="D413" s="53">
        <f>E413+M413</f>
        <v>13678640</v>
      </c>
      <c r="E413" s="54">
        <f>F413+I413+J413+K413+L413</f>
        <v>5780318</v>
      </c>
      <c r="F413" s="54">
        <f>G413+H413</f>
        <v>4839463</v>
      </c>
      <c r="G413" s="54">
        <v>3490167</v>
      </c>
      <c r="H413" s="54">
        <v>1349296</v>
      </c>
      <c r="I413" s="54">
        <v>0</v>
      </c>
      <c r="J413" s="54">
        <v>91500</v>
      </c>
      <c r="K413" s="54">
        <v>849355</v>
      </c>
      <c r="L413" s="54">
        <v>0</v>
      </c>
      <c r="M413" s="54">
        <f>N413+P413</f>
        <v>7898322</v>
      </c>
      <c r="N413" s="54">
        <v>7898322</v>
      </c>
      <c r="O413" s="54">
        <v>7744062</v>
      </c>
      <c r="P413" s="54">
        <v>0</v>
      </c>
      <c r="Q413" s="55"/>
      <c r="R413" s="55"/>
      <c r="S413" s="56"/>
      <c r="T413" s="56"/>
      <c r="U413" s="56"/>
    </row>
    <row r="414" spans="1:21" s="57" customFormat="1">
      <c r="A414" s="1064"/>
      <c r="B414" s="1065"/>
      <c r="C414" s="26" t="s">
        <v>22</v>
      </c>
      <c r="D414" s="53">
        <f>E414+M414</f>
        <v>73771</v>
      </c>
      <c r="E414" s="54">
        <f>F414+I414+J414+K414+L414</f>
        <v>73771</v>
      </c>
      <c r="F414" s="54">
        <f>G414+H414</f>
        <v>73771</v>
      </c>
      <c r="G414" s="54">
        <f>34768+1446+205</f>
        <v>36419</v>
      </c>
      <c r="H414" s="54">
        <f>24752+2000+10600</f>
        <v>37352</v>
      </c>
      <c r="I414" s="54"/>
      <c r="J414" s="54"/>
      <c r="K414" s="54"/>
      <c r="L414" s="54"/>
      <c r="M414" s="54">
        <f>N414+P414</f>
        <v>0</v>
      </c>
      <c r="N414" s="54"/>
      <c r="O414" s="54"/>
      <c r="P414" s="54"/>
      <c r="Q414" s="55"/>
      <c r="R414" s="55"/>
      <c r="S414" s="56"/>
      <c r="T414" s="56"/>
      <c r="U414" s="56"/>
    </row>
    <row r="415" spans="1:21" s="57" customFormat="1">
      <c r="A415" s="1064"/>
      <c r="B415" s="1065"/>
      <c r="C415" s="26" t="s">
        <v>23</v>
      </c>
      <c r="D415" s="53">
        <f t="shared" ref="D415:P415" si="182">D413+D414</f>
        <v>13752411</v>
      </c>
      <c r="E415" s="54">
        <f t="shared" si="182"/>
        <v>5854089</v>
      </c>
      <c r="F415" s="54">
        <f t="shared" si="182"/>
        <v>4913234</v>
      </c>
      <c r="G415" s="54">
        <f t="shared" si="182"/>
        <v>3526586</v>
      </c>
      <c r="H415" s="54">
        <f t="shared" si="182"/>
        <v>1386648</v>
      </c>
      <c r="I415" s="54">
        <f t="shared" si="182"/>
        <v>0</v>
      </c>
      <c r="J415" s="54">
        <f t="shared" si="182"/>
        <v>91500</v>
      </c>
      <c r="K415" s="54">
        <f t="shared" si="182"/>
        <v>849355</v>
      </c>
      <c r="L415" s="54">
        <f t="shared" si="182"/>
        <v>0</v>
      </c>
      <c r="M415" s="54">
        <f t="shared" si="182"/>
        <v>7898322</v>
      </c>
      <c r="N415" s="54">
        <f t="shared" si="182"/>
        <v>7898322</v>
      </c>
      <c r="O415" s="54">
        <f t="shared" si="182"/>
        <v>7744062</v>
      </c>
      <c r="P415" s="54">
        <f t="shared" si="182"/>
        <v>0</v>
      </c>
      <c r="Q415" s="55"/>
      <c r="R415" s="55"/>
      <c r="S415" s="56"/>
      <c r="T415" s="56"/>
      <c r="U415" s="56"/>
    </row>
    <row r="416" spans="1:21" s="45" customFormat="1" ht="13.9" hidden="1" customHeight="1">
      <c r="A416" s="1062">
        <v>926</v>
      </c>
      <c r="B416" s="1063" t="s">
        <v>209</v>
      </c>
      <c r="C416" s="42" t="s">
        <v>21</v>
      </c>
      <c r="D416" s="30">
        <f t="shared" ref="D416:P416" si="183">D419</f>
        <v>7477000</v>
      </c>
      <c r="E416" s="31">
        <f t="shared" si="183"/>
        <v>4877000</v>
      </c>
      <c r="F416" s="31">
        <f t="shared" si="183"/>
        <v>441900</v>
      </c>
      <c r="G416" s="31">
        <f t="shared" si="183"/>
        <v>3000</v>
      </c>
      <c r="H416" s="31">
        <f t="shared" si="183"/>
        <v>438900</v>
      </c>
      <c r="I416" s="31">
        <f t="shared" si="183"/>
        <v>3437550</v>
      </c>
      <c r="J416" s="31">
        <f t="shared" si="183"/>
        <v>997550</v>
      </c>
      <c r="K416" s="31">
        <f t="shared" si="183"/>
        <v>0</v>
      </c>
      <c r="L416" s="31">
        <f t="shared" si="183"/>
        <v>0</v>
      </c>
      <c r="M416" s="31">
        <f t="shared" si="183"/>
        <v>2600000</v>
      </c>
      <c r="N416" s="31">
        <f t="shared" si="183"/>
        <v>2600000</v>
      </c>
      <c r="O416" s="31">
        <f t="shared" si="183"/>
        <v>0</v>
      </c>
      <c r="P416" s="31">
        <f t="shared" si="183"/>
        <v>0</v>
      </c>
      <c r="Q416" s="43"/>
      <c r="R416" s="43"/>
      <c r="S416" s="44"/>
      <c r="T416" s="44"/>
      <c r="U416" s="44"/>
    </row>
    <row r="417" spans="1:21" s="45" customFormat="1" ht="14.25" hidden="1">
      <c r="A417" s="1062"/>
      <c r="B417" s="1063"/>
      <c r="C417" s="42" t="s">
        <v>22</v>
      </c>
      <c r="D417" s="30">
        <f t="shared" ref="D417:P417" si="184">D420</f>
        <v>0</v>
      </c>
      <c r="E417" s="31">
        <f t="shared" si="184"/>
        <v>0</v>
      </c>
      <c r="F417" s="31">
        <f t="shared" si="184"/>
        <v>0</v>
      </c>
      <c r="G417" s="31">
        <f t="shared" si="184"/>
        <v>0</v>
      </c>
      <c r="H417" s="31">
        <f t="shared" si="184"/>
        <v>0</v>
      </c>
      <c r="I417" s="31">
        <f t="shared" si="184"/>
        <v>0</v>
      </c>
      <c r="J417" s="31">
        <f t="shared" si="184"/>
        <v>0</v>
      </c>
      <c r="K417" s="31">
        <f t="shared" si="184"/>
        <v>0</v>
      </c>
      <c r="L417" s="31">
        <f t="shared" si="184"/>
        <v>0</v>
      </c>
      <c r="M417" s="31">
        <f t="shared" si="184"/>
        <v>0</v>
      </c>
      <c r="N417" s="31">
        <f t="shared" si="184"/>
        <v>0</v>
      </c>
      <c r="O417" s="31">
        <f t="shared" si="184"/>
        <v>0</v>
      </c>
      <c r="P417" s="31">
        <f t="shared" si="184"/>
        <v>0</v>
      </c>
      <c r="Q417" s="43"/>
      <c r="R417" s="43"/>
      <c r="S417" s="44"/>
      <c r="T417" s="44"/>
      <c r="U417" s="44"/>
    </row>
    <row r="418" spans="1:21" s="45" customFormat="1" ht="14.25" hidden="1">
      <c r="A418" s="1062"/>
      <c r="B418" s="1063"/>
      <c r="C418" s="42" t="s">
        <v>23</v>
      </c>
      <c r="D418" s="30">
        <f t="shared" ref="D418:P418" si="185">D421</f>
        <v>7477000</v>
      </c>
      <c r="E418" s="31">
        <f t="shared" si="185"/>
        <v>4877000</v>
      </c>
      <c r="F418" s="31">
        <f t="shared" si="185"/>
        <v>441900</v>
      </c>
      <c r="G418" s="31">
        <f t="shared" si="185"/>
        <v>3000</v>
      </c>
      <c r="H418" s="31">
        <f t="shared" si="185"/>
        <v>438900</v>
      </c>
      <c r="I418" s="31">
        <f t="shared" si="185"/>
        <v>3437550</v>
      </c>
      <c r="J418" s="31">
        <f t="shared" si="185"/>
        <v>997550</v>
      </c>
      <c r="K418" s="31">
        <f t="shared" si="185"/>
        <v>0</v>
      </c>
      <c r="L418" s="31">
        <f t="shared" si="185"/>
        <v>0</v>
      </c>
      <c r="M418" s="31">
        <f t="shared" si="185"/>
        <v>2600000</v>
      </c>
      <c r="N418" s="31">
        <f t="shared" si="185"/>
        <v>2600000</v>
      </c>
      <c r="O418" s="31">
        <f t="shared" si="185"/>
        <v>0</v>
      </c>
      <c r="P418" s="31">
        <f t="shared" si="185"/>
        <v>0</v>
      </c>
      <c r="Q418" s="43"/>
      <c r="R418" s="43"/>
      <c r="S418" s="44"/>
      <c r="T418" s="44"/>
      <c r="U418" s="44"/>
    </row>
    <row r="419" spans="1:21" s="57" customFormat="1" ht="13.15" hidden="1" customHeight="1">
      <c r="A419" s="1064">
        <v>92605</v>
      </c>
      <c r="B419" s="1065" t="s">
        <v>210</v>
      </c>
      <c r="C419" s="26" t="s">
        <v>21</v>
      </c>
      <c r="D419" s="17">
        <f>E419+M419</f>
        <v>7477000</v>
      </c>
      <c r="E419" s="27">
        <f>F419+I419+J419+K419+L419</f>
        <v>4877000</v>
      </c>
      <c r="F419" s="27">
        <f>G419+H419</f>
        <v>441900</v>
      </c>
      <c r="G419" s="27">
        <v>3000</v>
      </c>
      <c r="H419" s="27">
        <v>438900</v>
      </c>
      <c r="I419" s="27">
        <v>3437550</v>
      </c>
      <c r="J419" s="27">
        <v>997550</v>
      </c>
      <c r="K419" s="27">
        <v>0</v>
      </c>
      <c r="L419" s="27">
        <v>0</v>
      </c>
      <c r="M419" s="27">
        <f>N419+P419</f>
        <v>2600000</v>
      </c>
      <c r="N419" s="27">
        <v>2600000</v>
      </c>
      <c r="O419" s="27">
        <v>0</v>
      </c>
      <c r="P419" s="27">
        <v>0</v>
      </c>
      <c r="Q419" s="55"/>
      <c r="R419" s="55"/>
      <c r="S419" s="56"/>
      <c r="T419" s="56"/>
      <c r="U419" s="56"/>
    </row>
    <row r="420" spans="1:21" s="57" customFormat="1" hidden="1">
      <c r="A420" s="1064"/>
      <c r="B420" s="1065"/>
      <c r="C420" s="26" t="s">
        <v>22</v>
      </c>
      <c r="D420" s="17">
        <f>E420+M420</f>
        <v>0</v>
      </c>
      <c r="E420" s="27">
        <f>F420+I420+J420+K420+L420</f>
        <v>0</v>
      </c>
      <c r="F420" s="27">
        <f>G420+H420</f>
        <v>0</v>
      </c>
      <c r="G420" s="27"/>
      <c r="H420" s="27"/>
      <c r="I420" s="27"/>
      <c r="J420" s="27"/>
      <c r="K420" s="27"/>
      <c r="L420" s="27"/>
      <c r="M420" s="27">
        <f>N420+P420</f>
        <v>0</v>
      </c>
      <c r="N420" s="27"/>
      <c r="O420" s="27"/>
      <c r="P420" s="27"/>
      <c r="Q420" s="55"/>
      <c r="R420" s="55"/>
      <c r="S420" s="56"/>
      <c r="T420" s="56"/>
      <c r="U420" s="56"/>
    </row>
    <row r="421" spans="1:21" s="57" customFormat="1" hidden="1">
      <c r="A421" s="1064"/>
      <c r="B421" s="1065"/>
      <c r="C421" s="26" t="s">
        <v>23</v>
      </c>
      <c r="D421" s="17">
        <f t="shared" ref="D421:P421" si="186">D420+D419</f>
        <v>7477000</v>
      </c>
      <c r="E421" s="27">
        <f t="shared" si="186"/>
        <v>4877000</v>
      </c>
      <c r="F421" s="27">
        <f t="shared" si="186"/>
        <v>441900</v>
      </c>
      <c r="G421" s="27">
        <f t="shared" si="186"/>
        <v>3000</v>
      </c>
      <c r="H421" s="27">
        <f t="shared" si="186"/>
        <v>438900</v>
      </c>
      <c r="I421" s="27">
        <f t="shared" si="186"/>
        <v>3437550</v>
      </c>
      <c r="J421" s="27">
        <f t="shared" si="186"/>
        <v>997550</v>
      </c>
      <c r="K421" s="27">
        <f t="shared" si="186"/>
        <v>0</v>
      </c>
      <c r="L421" s="27">
        <f t="shared" si="186"/>
        <v>0</v>
      </c>
      <c r="M421" s="27">
        <f t="shared" si="186"/>
        <v>2600000</v>
      </c>
      <c r="N421" s="27">
        <f t="shared" si="186"/>
        <v>2600000</v>
      </c>
      <c r="O421" s="27">
        <f t="shared" si="186"/>
        <v>0</v>
      </c>
      <c r="P421" s="27">
        <f t="shared" si="186"/>
        <v>0</v>
      </c>
      <c r="Q421" s="55"/>
      <c r="R421" s="55"/>
      <c r="S421" s="56"/>
      <c r="T421" s="56"/>
      <c r="U421" s="56"/>
    </row>
    <row r="422" spans="1:21" s="19" customFormat="1" ht="6.75" customHeight="1">
      <c r="A422" s="60"/>
      <c r="B422" s="25"/>
      <c r="C422" s="26"/>
      <c r="D422" s="17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28"/>
      <c r="R422" s="28"/>
      <c r="S422" s="28"/>
      <c r="T422" s="28"/>
      <c r="U422" s="28"/>
    </row>
    <row r="423" spans="1:21" s="65" customFormat="1" ht="15.75">
      <c r="A423" s="1060"/>
      <c r="B423" s="1061" t="s">
        <v>20</v>
      </c>
      <c r="C423" s="62" t="s">
        <v>21</v>
      </c>
      <c r="D423" s="63">
        <f t="shared" ref="D423:P423" si="187">D13</f>
        <v>1312565801.3699999</v>
      </c>
      <c r="E423" s="63">
        <f t="shared" si="187"/>
        <v>838439061.37</v>
      </c>
      <c r="F423" s="63">
        <f t="shared" si="187"/>
        <v>281284315.37</v>
      </c>
      <c r="G423" s="63">
        <f t="shared" si="187"/>
        <v>156586091.03</v>
      </c>
      <c r="H423" s="63">
        <f t="shared" si="187"/>
        <v>124698224.34</v>
      </c>
      <c r="I423" s="63">
        <f t="shared" si="187"/>
        <v>244355935</v>
      </c>
      <c r="J423" s="63">
        <f t="shared" si="187"/>
        <v>3138728</v>
      </c>
      <c r="K423" s="63">
        <f t="shared" si="187"/>
        <v>287763849</v>
      </c>
      <c r="L423" s="63">
        <f t="shared" si="187"/>
        <v>21896234</v>
      </c>
      <c r="M423" s="63">
        <f t="shared" si="187"/>
        <v>474126740</v>
      </c>
      <c r="N423" s="63">
        <f t="shared" si="187"/>
        <v>409864534</v>
      </c>
      <c r="O423" s="63">
        <f t="shared" si="187"/>
        <v>265247845</v>
      </c>
      <c r="P423" s="63">
        <f t="shared" si="187"/>
        <v>64262206</v>
      </c>
      <c r="Q423" s="64"/>
      <c r="R423" s="64"/>
      <c r="S423" s="64"/>
      <c r="T423" s="64"/>
      <c r="U423" s="64"/>
    </row>
    <row r="424" spans="1:21" s="65" customFormat="1" ht="15.75">
      <c r="A424" s="1060"/>
      <c r="B424" s="1061"/>
      <c r="C424" s="62" t="s">
        <v>22</v>
      </c>
      <c r="D424" s="63">
        <f t="shared" ref="D424:P424" si="188">D14</f>
        <v>-103220364.28999999</v>
      </c>
      <c r="E424" s="63">
        <f t="shared" si="188"/>
        <v>-53279151.289999999</v>
      </c>
      <c r="F424" s="63">
        <f t="shared" si="188"/>
        <v>-7501093.29</v>
      </c>
      <c r="G424" s="63">
        <f t="shared" si="188"/>
        <v>-6544001</v>
      </c>
      <c r="H424" s="63">
        <f t="shared" si="188"/>
        <v>-957092.29</v>
      </c>
      <c r="I424" s="63">
        <f t="shared" si="188"/>
        <v>-179707</v>
      </c>
      <c r="J424" s="63">
        <f t="shared" si="188"/>
        <v>131762</v>
      </c>
      <c r="K424" s="63">
        <f t="shared" si="188"/>
        <v>-28369349</v>
      </c>
      <c r="L424" s="63">
        <f t="shared" si="188"/>
        <v>-17360764</v>
      </c>
      <c r="M424" s="63">
        <f t="shared" si="188"/>
        <v>-49941213</v>
      </c>
      <c r="N424" s="63">
        <f t="shared" si="188"/>
        <v>-98191213</v>
      </c>
      <c r="O424" s="63">
        <f t="shared" si="188"/>
        <v>-92646004</v>
      </c>
      <c r="P424" s="63">
        <f t="shared" si="188"/>
        <v>48250000</v>
      </c>
      <c r="Q424" s="64"/>
      <c r="R424" s="64"/>
      <c r="S424" s="64"/>
      <c r="T424" s="64"/>
      <c r="U424" s="64"/>
    </row>
    <row r="425" spans="1:21" s="65" customFormat="1" ht="15.75">
      <c r="A425" s="1060"/>
      <c r="B425" s="1061"/>
      <c r="C425" s="62" t="s">
        <v>23</v>
      </c>
      <c r="D425" s="63">
        <f t="shared" ref="D425:P425" si="189">D423+D424</f>
        <v>1209345437.0799999</v>
      </c>
      <c r="E425" s="63">
        <f t="shared" si="189"/>
        <v>785159910.08000004</v>
      </c>
      <c r="F425" s="63">
        <f t="shared" si="189"/>
        <v>273783222.07999998</v>
      </c>
      <c r="G425" s="63">
        <f t="shared" si="189"/>
        <v>150042090.03</v>
      </c>
      <c r="H425" s="63">
        <f t="shared" si="189"/>
        <v>123741132.05</v>
      </c>
      <c r="I425" s="63">
        <f t="shared" si="189"/>
        <v>244176228</v>
      </c>
      <c r="J425" s="63">
        <f t="shared" si="189"/>
        <v>3270490</v>
      </c>
      <c r="K425" s="63">
        <f t="shared" si="189"/>
        <v>259394500</v>
      </c>
      <c r="L425" s="63">
        <f t="shared" si="189"/>
        <v>4535470</v>
      </c>
      <c r="M425" s="63">
        <f t="shared" si="189"/>
        <v>424185527</v>
      </c>
      <c r="N425" s="63">
        <f t="shared" si="189"/>
        <v>311673321</v>
      </c>
      <c r="O425" s="63">
        <f t="shared" si="189"/>
        <v>172601841</v>
      </c>
      <c r="P425" s="63">
        <f t="shared" si="189"/>
        <v>112512206</v>
      </c>
      <c r="Q425" s="64"/>
      <c r="R425" s="64"/>
      <c r="S425" s="64"/>
      <c r="T425" s="64"/>
      <c r="U425" s="64"/>
    </row>
    <row r="426" spans="1:21" ht="9" customHeight="1">
      <c r="A426" s="66"/>
      <c r="B426" s="67"/>
      <c r="C426" s="68"/>
      <c r="D426" s="6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67"/>
      <c r="R426" s="67"/>
      <c r="S426" s="67"/>
      <c r="T426" s="67"/>
      <c r="U426" s="67"/>
    </row>
    <row r="427" spans="1:21">
      <c r="A427" s="69" t="s">
        <v>5</v>
      </c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</row>
    <row r="428" spans="1:21">
      <c r="A428" s="69" t="s">
        <v>211</v>
      </c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</row>
    <row r="429" spans="1:21">
      <c r="A429" s="69" t="s">
        <v>212</v>
      </c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</row>
    <row r="430" spans="1:21">
      <c r="A430" s="69" t="s">
        <v>213</v>
      </c>
      <c r="D430" s="70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</sheetData>
  <sheetProtection password="C25B" sheet="1" selectLockedCells="1" selectUnlockedCells="1"/>
  <mergeCells count="292">
    <mergeCell ref="K9:K10"/>
    <mergeCell ref="L9:L10"/>
    <mergeCell ref="A5:P5"/>
    <mergeCell ref="A7:A10"/>
    <mergeCell ref="B7:B10"/>
    <mergeCell ref="C7:C10"/>
    <mergeCell ref="D7:D10"/>
    <mergeCell ref="E7:P7"/>
    <mergeCell ref="N9:N10"/>
    <mergeCell ref="P9:P10"/>
    <mergeCell ref="M8:M10"/>
    <mergeCell ref="N8:P8"/>
    <mergeCell ref="A17:A19"/>
    <mergeCell ref="B17:B19"/>
    <mergeCell ref="F9:F10"/>
    <mergeCell ref="G9:H9"/>
    <mergeCell ref="I9:I10"/>
    <mergeCell ref="J9:J10"/>
    <mergeCell ref="E8:E10"/>
    <mergeCell ref="F8:L8"/>
    <mergeCell ref="A13:A15"/>
    <mergeCell ref="B13:B15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0:A82"/>
    <mergeCell ref="B80:B82"/>
    <mergeCell ref="A83:A85"/>
    <mergeCell ref="B83:B85"/>
    <mergeCell ref="A86:A88"/>
    <mergeCell ref="B86:B88"/>
    <mergeCell ref="A89:A91"/>
    <mergeCell ref="B89:B91"/>
    <mergeCell ref="A92:A94"/>
    <mergeCell ref="B92:B94"/>
    <mergeCell ref="A95:A97"/>
    <mergeCell ref="B95:B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116:A118"/>
    <mergeCell ref="B116:B118"/>
    <mergeCell ref="A119:A121"/>
    <mergeCell ref="B119:B121"/>
    <mergeCell ref="A122:A124"/>
    <mergeCell ref="B122:B124"/>
    <mergeCell ref="A125:A127"/>
    <mergeCell ref="B125:B127"/>
    <mergeCell ref="A128:A130"/>
    <mergeCell ref="B128:B130"/>
    <mergeCell ref="A131:A133"/>
    <mergeCell ref="B131:B133"/>
    <mergeCell ref="A134:A136"/>
    <mergeCell ref="B134:B136"/>
    <mergeCell ref="A137:A139"/>
    <mergeCell ref="B137:B139"/>
    <mergeCell ref="A140:A142"/>
    <mergeCell ref="B140:B142"/>
    <mergeCell ref="A143:A145"/>
    <mergeCell ref="B143:B145"/>
    <mergeCell ref="A146:A148"/>
    <mergeCell ref="B146:B148"/>
    <mergeCell ref="A149:A151"/>
    <mergeCell ref="B149:B151"/>
    <mergeCell ref="A152:A154"/>
    <mergeCell ref="B152:B154"/>
    <mergeCell ref="A155:A157"/>
    <mergeCell ref="B155:B157"/>
    <mergeCell ref="A158:A160"/>
    <mergeCell ref="B158:B160"/>
    <mergeCell ref="A161:A163"/>
    <mergeCell ref="B161:B163"/>
    <mergeCell ref="A164:A166"/>
    <mergeCell ref="B164:B166"/>
    <mergeCell ref="A167:A169"/>
    <mergeCell ref="B167:B169"/>
    <mergeCell ref="A170:A172"/>
    <mergeCell ref="B170:B172"/>
    <mergeCell ref="A173:A175"/>
    <mergeCell ref="B173:B175"/>
    <mergeCell ref="A176:A178"/>
    <mergeCell ref="B176:B178"/>
    <mergeCell ref="A179:A181"/>
    <mergeCell ref="B179:B18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  <mergeCell ref="A200:A202"/>
    <mergeCell ref="B200:B202"/>
    <mergeCell ref="A203:A205"/>
    <mergeCell ref="B203:B205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36:A238"/>
    <mergeCell ref="B236:B238"/>
    <mergeCell ref="A239:A241"/>
    <mergeCell ref="B239:B241"/>
    <mergeCell ref="A242:A244"/>
    <mergeCell ref="B242:B244"/>
    <mergeCell ref="A245:A247"/>
    <mergeCell ref="B245:B247"/>
    <mergeCell ref="A248:A250"/>
    <mergeCell ref="B248:B250"/>
    <mergeCell ref="A251:A253"/>
    <mergeCell ref="B251:B253"/>
    <mergeCell ref="A254:A256"/>
    <mergeCell ref="B254:B256"/>
    <mergeCell ref="A257:A259"/>
    <mergeCell ref="B257:B259"/>
    <mergeCell ref="A260:A262"/>
    <mergeCell ref="B260:B262"/>
    <mergeCell ref="A263:A265"/>
    <mergeCell ref="B263:B265"/>
    <mergeCell ref="A266:A268"/>
    <mergeCell ref="B266:B268"/>
    <mergeCell ref="A272:A274"/>
    <mergeCell ref="B272:B274"/>
    <mergeCell ref="A269:A271"/>
    <mergeCell ref="B269:B271"/>
    <mergeCell ref="A275:A277"/>
    <mergeCell ref="B275:B277"/>
    <mergeCell ref="A278:A280"/>
    <mergeCell ref="B278:B280"/>
    <mergeCell ref="A281:A283"/>
    <mergeCell ref="B281:B283"/>
    <mergeCell ref="A284:A286"/>
    <mergeCell ref="B284:B286"/>
    <mergeCell ref="A287:A289"/>
    <mergeCell ref="B287:B289"/>
    <mergeCell ref="A290:A292"/>
    <mergeCell ref="B290:B292"/>
    <mergeCell ref="A293:A295"/>
    <mergeCell ref="B293:B295"/>
    <mergeCell ref="A296:A298"/>
    <mergeCell ref="B296:B298"/>
    <mergeCell ref="A299:A301"/>
    <mergeCell ref="B299:B301"/>
    <mergeCell ref="A302:A304"/>
    <mergeCell ref="B302:B304"/>
    <mergeCell ref="A305:A307"/>
    <mergeCell ref="B305:B307"/>
    <mergeCell ref="A308:A310"/>
    <mergeCell ref="B308:B310"/>
    <mergeCell ref="A311:A313"/>
    <mergeCell ref="B311:B313"/>
    <mergeCell ref="A314:A316"/>
    <mergeCell ref="B314:B316"/>
    <mergeCell ref="A317:A319"/>
    <mergeCell ref="B317:B319"/>
    <mergeCell ref="A320:A322"/>
    <mergeCell ref="B320:B322"/>
    <mergeCell ref="A323:A325"/>
    <mergeCell ref="B323:B325"/>
    <mergeCell ref="A326:A328"/>
    <mergeCell ref="B326:B328"/>
    <mergeCell ref="A329:A331"/>
    <mergeCell ref="B329:B331"/>
    <mergeCell ref="A332:A334"/>
    <mergeCell ref="B332:B334"/>
    <mergeCell ref="A335:A337"/>
    <mergeCell ref="B335:B337"/>
    <mergeCell ref="A338:A340"/>
    <mergeCell ref="B338:B340"/>
    <mergeCell ref="A341:A343"/>
    <mergeCell ref="B341:B343"/>
    <mergeCell ref="A344:A346"/>
    <mergeCell ref="B344:B346"/>
    <mergeCell ref="A347:A349"/>
    <mergeCell ref="B347:B349"/>
    <mergeCell ref="A350:A352"/>
    <mergeCell ref="B350:B352"/>
    <mergeCell ref="A353:A355"/>
    <mergeCell ref="B353:B355"/>
    <mergeCell ref="A356:A358"/>
    <mergeCell ref="B356:B358"/>
    <mergeCell ref="A359:A361"/>
    <mergeCell ref="B359:B361"/>
    <mergeCell ref="A362:A364"/>
    <mergeCell ref="B362:B364"/>
    <mergeCell ref="A365:A367"/>
    <mergeCell ref="B365:B367"/>
    <mergeCell ref="A368:A370"/>
    <mergeCell ref="B368:B370"/>
    <mergeCell ref="A371:A373"/>
    <mergeCell ref="B371:B373"/>
    <mergeCell ref="A374:A376"/>
    <mergeCell ref="B374:B376"/>
    <mergeCell ref="A377:A379"/>
    <mergeCell ref="B377:B379"/>
    <mergeCell ref="A380:A382"/>
    <mergeCell ref="B380:B382"/>
    <mergeCell ref="A383:A385"/>
    <mergeCell ref="B383:B385"/>
    <mergeCell ref="A386:A388"/>
    <mergeCell ref="B386:B388"/>
    <mergeCell ref="A389:A391"/>
    <mergeCell ref="B389:B391"/>
    <mergeCell ref="A392:A394"/>
    <mergeCell ref="B392:B394"/>
    <mergeCell ref="A395:A397"/>
    <mergeCell ref="B395:B397"/>
    <mergeCell ref="A398:A400"/>
    <mergeCell ref="B398:B400"/>
    <mergeCell ref="A401:A403"/>
    <mergeCell ref="B401:B403"/>
    <mergeCell ref="A404:A406"/>
    <mergeCell ref="B404:B406"/>
    <mergeCell ref="A407:A409"/>
    <mergeCell ref="B407:B409"/>
    <mergeCell ref="A419:A421"/>
    <mergeCell ref="B419:B421"/>
    <mergeCell ref="A423:A425"/>
    <mergeCell ref="B423:B425"/>
    <mergeCell ref="A410:A412"/>
    <mergeCell ref="B410:B412"/>
    <mergeCell ref="A413:A415"/>
    <mergeCell ref="B413:B415"/>
    <mergeCell ref="A416:A418"/>
    <mergeCell ref="B416:B418"/>
  </mergeCells>
  <printOptions horizontalCentered="1"/>
  <pageMargins left="0.70866141732283472" right="0.70866141732283472" top="0.98425196850393704" bottom="0.74803149606299213" header="0.51181102362204722" footer="0.51181102362204722"/>
  <pageSetup paperSize="9" scale="5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"/>
  <sheetViews>
    <sheetView view="pageBreakPreview" topLeftCell="A392" zoomScaleNormal="100" zoomScaleSheetLayoutView="100" workbookViewId="0">
      <selection sqref="A1:G410"/>
    </sheetView>
  </sheetViews>
  <sheetFormatPr defaultColWidth="8.875" defaultRowHeight="12.75"/>
  <cols>
    <col min="1" max="2" width="7" style="2" customWidth="1"/>
    <col min="3" max="3" width="42.25" style="2" customWidth="1"/>
    <col min="4" max="4" width="13.75" style="2" customWidth="1"/>
    <col min="5" max="6" width="12.75" style="2" customWidth="1"/>
    <col min="7" max="7" width="14" style="2" customWidth="1"/>
    <col min="8" max="16384" width="8.875" style="2"/>
  </cols>
  <sheetData>
    <row r="1" spans="1:7" s="8" customFormat="1">
      <c r="A1" s="71"/>
      <c r="B1" s="72"/>
      <c r="D1" s="4"/>
      <c r="E1" s="4" t="s">
        <v>214</v>
      </c>
      <c r="F1" s="4"/>
      <c r="G1" s="4"/>
    </row>
    <row r="2" spans="1:7" s="8" customFormat="1" ht="13.15" customHeight="1">
      <c r="A2" s="71"/>
      <c r="B2" s="72"/>
      <c r="D2" s="4"/>
      <c r="E2" s="5" t="s">
        <v>633</v>
      </c>
      <c r="F2" s="4"/>
      <c r="G2" s="4"/>
    </row>
    <row r="3" spans="1:7" s="8" customFormat="1">
      <c r="A3" s="71"/>
      <c r="B3" s="72"/>
      <c r="D3" s="4"/>
      <c r="E3" s="5" t="s">
        <v>634</v>
      </c>
      <c r="F3" s="4"/>
      <c r="G3" s="4"/>
    </row>
    <row r="4" spans="1:7" s="8" customFormat="1" ht="6" customHeight="1">
      <c r="A4" s="71"/>
      <c r="B4" s="72"/>
    </row>
    <row r="5" spans="1:7" s="8" customFormat="1" ht="39" customHeight="1">
      <c r="A5" s="1076" t="s">
        <v>215</v>
      </c>
      <c r="B5" s="1076"/>
      <c r="C5" s="1076"/>
      <c r="D5" s="1076"/>
      <c r="E5" s="1076"/>
      <c r="F5" s="1076"/>
      <c r="G5" s="1076"/>
    </row>
    <row r="6" spans="1:7" s="8" customFormat="1">
      <c r="A6" s="73"/>
      <c r="B6" s="73"/>
      <c r="C6" s="74"/>
      <c r="D6" s="74"/>
      <c r="E6" s="74"/>
      <c r="F6" s="74"/>
      <c r="G6" s="74" t="s">
        <v>2</v>
      </c>
    </row>
    <row r="7" spans="1:7" s="78" customFormat="1" ht="13.15" customHeight="1">
      <c r="A7" s="75" t="s">
        <v>216</v>
      </c>
      <c r="B7" s="1079" t="s">
        <v>217</v>
      </c>
      <c r="C7" s="1080" t="s">
        <v>218</v>
      </c>
      <c r="D7" s="76" t="s">
        <v>219</v>
      </c>
      <c r="E7" s="1081" t="s">
        <v>220</v>
      </c>
      <c r="F7" s="1082" t="s">
        <v>221</v>
      </c>
      <c r="G7" s="77" t="s">
        <v>222</v>
      </c>
    </row>
    <row r="8" spans="1:7" s="78" customFormat="1" ht="14.25" customHeight="1">
      <c r="A8" s="79" t="s">
        <v>223</v>
      </c>
      <c r="B8" s="1079"/>
      <c r="C8" s="1080"/>
      <c r="D8" s="80" t="s">
        <v>224</v>
      </c>
      <c r="E8" s="1081"/>
      <c r="F8" s="1082"/>
      <c r="G8" s="81" t="s">
        <v>225</v>
      </c>
    </row>
    <row r="9" spans="1:7" s="82" customFormat="1">
      <c r="A9" s="362">
        <v>1</v>
      </c>
      <c r="B9" s="363">
        <v>2</v>
      </c>
      <c r="C9" s="362">
        <v>3</v>
      </c>
      <c r="D9" s="363">
        <v>4</v>
      </c>
      <c r="E9" s="362">
        <v>5</v>
      </c>
      <c r="F9" s="364">
        <v>6</v>
      </c>
      <c r="G9" s="362">
        <v>7</v>
      </c>
    </row>
    <row r="10" spans="1:7" s="83" customFormat="1" ht="19.899999999999999" customHeight="1">
      <c r="A10" s="365"/>
      <c r="B10" s="366"/>
      <c r="C10" s="367" t="s">
        <v>226</v>
      </c>
      <c r="D10" s="368">
        <v>1312565801.3699999</v>
      </c>
      <c r="E10" s="369">
        <f>E11+E16+E61+E74+E77+E85+E88+E99+E103+E133+E136+E141+E213+E264+E281+E318+E348+E355+E373+E403</f>
        <v>65673178.710000001</v>
      </c>
      <c r="F10" s="369">
        <f>F11+F16+F61+F74+F77+F85+F88+F99+F103+F133+F136+F141+F213+F264+F281+F318+F348+F355+F373+F403</f>
        <v>168893543</v>
      </c>
      <c r="G10" s="370">
        <f>D10+E10-F10</f>
        <v>1209345437.0799999</v>
      </c>
    </row>
    <row r="11" spans="1:7" s="387" customFormat="1" ht="15" customHeight="1">
      <c r="A11" s="388" t="s">
        <v>24</v>
      </c>
      <c r="B11" s="389" t="s">
        <v>486</v>
      </c>
      <c r="C11" s="390" t="s">
        <v>25</v>
      </c>
      <c r="D11" s="391">
        <v>14274880.359999999</v>
      </c>
      <c r="E11" s="392">
        <f>E12</f>
        <v>11107.71</v>
      </c>
      <c r="F11" s="392">
        <f>F12</f>
        <v>68200</v>
      </c>
      <c r="G11" s="392">
        <f>D11+E11-F11</f>
        <v>14217788.07</v>
      </c>
    </row>
    <row r="12" spans="1:7" s="387" customFormat="1" ht="15" customHeight="1">
      <c r="A12" s="381" t="s">
        <v>36</v>
      </c>
      <c r="B12" s="382" t="s">
        <v>486</v>
      </c>
      <c r="C12" s="383" t="s">
        <v>37</v>
      </c>
      <c r="D12" s="384">
        <v>522663.36</v>
      </c>
      <c r="E12" s="385">
        <f>SUM(E13:E15)</f>
        <v>11107.71</v>
      </c>
      <c r="F12" s="385">
        <f>SUM(F13:F15)</f>
        <v>68200</v>
      </c>
      <c r="G12" s="385">
        <f t="shared" ref="G12:G75" si="0">D12+E12-F12</f>
        <v>465571.06999999995</v>
      </c>
    </row>
    <row r="13" spans="1:7" ht="15" customHeight="1">
      <c r="A13" s="371" t="s">
        <v>486</v>
      </c>
      <c r="B13" s="372">
        <v>4190</v>
      </c>
      <c r="C13" s="373" t="s">
        <v>487</v>
      </c>
      <c r="D13" s="374">
        <v>80600</v>
      </c>
      <c r="E13" s="375">
        <v>0</v>
      </c>
      <c r="F13" s="374">
        <v>1500</v>
      </c>
      <c r="G13" s="375">
        <f t="shared" si="0"/>
        <v>79100</v>
      </c>
    </row>
    <row r="14" spans="1:7" ht="15" customHeight="1">
      <c r="A14" s="371" t="s">
        <v>486</v>
      </c>
      <c r="B14" s="372">
        <v>4300</v>
      </c>
      <c r="C14" s="373" t="s">
        <v>488</v>
      </c>
      <c r="D14" s="374">
        <v>273590</v>
      </c>
      <c r="E14" s="375">
        <v>0</v>
      </c>
      <c r="F14" s="374">
        <v>66700</v>
      </c>
      <c r="G14" s="375">
        <f t="shared" si="0"/>
        <v>206890</v>
      </c>
    </row>
    <row r="15" spans="1:7" ht="15" customHeight="1">
      <c r="A15" s="371" t="s">
        <v>486</v>
      </c>
      <c r="B15" s="372">
        <v>4590</v>
      </c>
      <c r="C15" s="373" t="s">
        <v>489</v>
      </c>
      <c r="D15" s="374">
        <v>100863.36</v>
      </c>
      <c r="E15" s="375">
        <v>11107.71</v>
      </c>
      <c r="F15" s="374">
        <v>0</v>
      </c>
      <c r="G15" s="375">
        <f t="shared" si="0"/>
        <v>111971.07</v>
      </c>
    </row>
    <row r="16" spans="1:7" s="387" customFormat="1" ht="15" customHeight="1">
      <c r="A16" s="388" t="s">
        <v>38</v>
      </c>
      <c r="B16" s="389" t="s">
        <v>486</v>
      </c>
      <c r="C16" s="390" t="s">
        <v>39</v>
      </c>
      <c r="D16" s="391">
        <v>452000</v>
      </c>
      <c r="E16" s="392">
        <f>E17</f>
        <v>27691</v>
      </c>
      <c r="F16" s="392">
        <f>F17</f>
        <v>105540</v>
      </c>
      <c r="G16" s="392">
        <f t="shared" si="0"/>
        <v>374151</v>
      </c>
    </row>
    <row r="17" spans="1:7" s="387" customFormat="1" ht="55.15" customHeight="1">
      <c r="A17" s="381" t="s">
        <v>42</v>
      </c>
      <c r="B17" s="382" t="s">
        <v>486</v>
      </c>
      <c r="C17" s="383" t="s">
        <v>43</v>
      </c>
      <c r="D17" s="384">
        <v>388000</v>
      </c>
      <c r="E17" s="385">
        <f>SUM(E18:E60)</f>
        <v>27691</v>
      </c>
      <c r="F17" s="385">
        <f>SUM(F18:F60)</f>
        <v>105540</v>
      </c>
      <c r="G17" s="385">
        <f t="shared" si="0"/>
        <v>310151</v>
      </c>
    </row>
    <row r="18" spans="1:7" ht="15" customHeight="1">
      <c r="A18" s="371" t="s">
        <v>486</v>
      </c>
      <c r="B18" s="372">
        <v>4010</v>
      </c>
      <c r="C18" s="373" t="s">
        <v>490</v>
      </c>
      <c r="D18" s="374">
        <v>0</v>
      </c>
      <c r="E18" s="375">
        <v>17864</v>
      </c>
      <c r="F18" s="374">
        <v>0</v>
      </c>
      <c r="G18" s="375">
        <f t="shared" si="0"/>
        <v>17864</v>
      </c>
    </row>
    <row r="19" spans="1:7" ht="15" customHeight="1">
      <c r="A19" s="371" t="s">
        <v>486</v>
      </c>
      <c r="B19" s="372">
        <v>4018</v>
      </c>
      <c r="C19" s="373" t="s">
        <v>490</v>
      </c>
      <c r="D19" s="374">
        <v>160526</v>
      </c>
      <c r="E19" s="375">
        <v>0</v>
      </c>
      <c r="F19" s="374">
        <v>29357</v>
      </c>
      <c r="G19" s="375">
        <f t="shared" si="0"/>
        <v>131169</v>
      </c>
    </row>
    <row r="20" spans="1:7" ht="15" customHeight="1">
      <c r="A20" s="371" t="s">
        <v>486</v>
      </c>
      <c r="B20" s="372">
        <v>4019</v>
      </c>
      <c r="C20" s="373" t="s">
        <v>490</v>
      </c>
      <c r="D20" s="374">
        <v>53509</v>
      </c>
      <c r="E20" s="375">
        <v>0</v>
      </c>
      <c r="F20" s="374">
        <v>9787</v>
      </c>
      <c r="G20" s="375">
        <f t="shared" si="0"/>
        <v>43722</v>
      </c>
    </row>
    <row r="21" spans="1:7" ht="15" customHeight="1">
      <c r="A21" s="371" t="s">
        <v>486</v>
      </c>
      <c r="B21" s="372">
        <v>4048</v>
      </c>
      <c r="C21" s="373" t="s">
        <v>491</v>
      </c>
      <c r="D21" s="374">
        <v>12750</v>
      </c>
      <c r="E21" s="375">
        <v>0</v>
      </c>
      <c r="F21" s="374">
        <v>2250</v>
      </c>
      <c r="G21" s="375">
        <f t="shared" si="0"/>
        <v>10500</v>
      </c>
    </row>
    <row r="22" spans="1:7" ht="15" customHeight="1">
      <c r="A22" s="371" t="s">
        <v>486</v>
      </c>
      <c r="B22" s="372">
        <v>4049</v>
      </c>
      <c r="C22" s="373" t="s">
        <v>491</v>
      </c>
      <c r="D22" s="374">
        <v>4250</v>
      </c>
      <c r="E22" s="375">
        <v>0</v>
      </c>
      <c r="F22" s="374">
        <v>750</v>
      </c>
      <c r="G22" s="375">
        <f t="shared" si="0"/>
        <v>3500</v>
      </c>
    </row>
    <row r="23" spans="1:7" ht="15" customHeight="1">
      <c r="A23" s="371" t="s">
        <v>486</v>
      </c>
      <c r="B23" s="372">
        <v>4110</v>
      </c>
      <c r="C23" s="373" t="s">
        <v>492</v>
      </c>
      <c r="D23" s="374">
        <v>0</v>
      </c>
      <c r="E23" s="375">
        <v>2761</v>
      </c>
      <c r="F23" s="374">
        <v>0</v>
      </c>
      <c r="G23" s="375">
        <f t="shared" si="0"/>
        <v>2761</v>
      </c>
    </row>
    <row r="24" spans="1:7" ht="15" customHeight="1">
      <c r="A24" s="371" t="s">
        <v>486</v>
      </c>
      <c r="B24" s="372">
        <v>4118</v>
      </c>
      <c r="C24" s="373" t="s">
        <v>492</v>
      </c>
      <c r="D24" s="374">
        <v>30174</v>
      </c>
      <c r="E24" s="375">
        <v>0</v>
      </c>
      <c r="F24" s="374">
        <v>6266</v>
      </c>
      <c r="G24" s="375">
        <f t="shared" si="0"/>
        <v>23908</v>
      </c>
    </row>
    <row r="25" spans="1:7" ht="15" customHeight="1">
      <c r="A25" s="371" t="s">
        <v>486</v>
      </c>
      <c r="B25" s="372">
        <v>4119</v>
      </c>
      <c r="C25" s="373" t="s">
        <v>492</v>
      </c>
      <c r="D25" s="374">
        <v>10058</v>
      </c>
      <c r="E25" s="375">
        <v>0</v>
      </c>
      <c r="F25" s="374">
        <v>2089</v>
      </c>
      <c r="G25" s="375">
        <f t="shared" si="0"/>
        <v>7969</v>
      </c>
    </row>
    <row r="26" spans="1:7" ht="15" customHeight="1">
      <c r="A26" s="371" t="s">
        <v>486</v>
      </c>
      <c r="B26" s="372">
        <v>4120</v>
      </c>
      <c r="C26" s="373" t="s">
        <v>493</v>
      </c>
      <c r="D26" s="374">
        <v>0</v>
      </c>
      <c r="E26" s="375">
        <v>311</v>
      </c>
      <c r="F26" s="374">
        <v>0</v>
      </c>
      <c r="G26" s="375">
        <f t="shared" si="0"/>
        <v>311</v>
      </c>
    </row>
    <row r="27" spans="1:7" ht="15" customHeight="1">
      <c r="A27" s="371" t="s">
        <v>486</v>
      </c>
      <c r="B27" s="372">
        <v>4128</v>
      </c>
      <c r="C27" s="373" t="s">
        <v>493</v>
      </c>
      <c r="D27" s="374">
        <v>4300</v>
      </c>
      <c r="E27" s="375">
        <v>0</v>
      </c>
      <c r="F27" s="374">
        <v>1452</v>
      </c>
      <c r="G27" s="375">
        <f t="shared" si="0"/>
        <v>2848</v>
      </c>
    </row>
    <row r="28" spans="1:7" ht="15" customHeight="1">
      <c r="A28" s="371" t="s">
        <v>486</v>
      </c>
      <c r="B28" s="372">
        <v>4129</v>
      </c>
      <c r="C28" s="373" t="s">
        <v>493</v>
      </c>
      <c r="D28" s="374">
        <v>1433</v>
      </c>
      <c r="E28" s="375">
        <v>0</v>
      </c>
      <c r="F28" s="374">
        <v>486</v>
      </c>
      <c r="G28" s="375">
        <f t="shared" si="0"/>
        <v>947</v>
      </c>
    </row>
    <row r="29" spans="1:7" ht="15" customHeight="1">
      <c r="A29" s="371" t="s">
        <v>486</v>
      </c>
      <c r="B29" s="372">
        <v>4170</v>
      </c>
      <c r="C29" s="373" t="s">
        <v>494</v>
      </c>
      <c r="D29" s="374">
        <v>0</v>
      </c>
      <c r="E29" s="375">
        <v>144</v>
      </c>
      <c r="F29" s="374">
        <v>0</v>
      </c>
      <c r="G29" s="375">
        <f t="shared" si="0"/>
        <v>144</v>
      </c>
    </row>
    <row r="30" spans="1:7" ht="15" customHeight="1">
      <c r="A30" s="371" t="s">
        <v>486</v>
      </c>
      <c r="B30" s="372">
        <v>4178</v>
      </c>
      <c r="C30" s="373" t="s">
        <v>494</v>
      </c>
      <c r="D30" s="374">
        <v>2250</v>
      </c>
      <c r="E30" s="375">
        <v>0</v>
      </c>
      <c r="F30" s="374">
        <v>1050</v>
      </c>
      <c r="G30" s="375">
        <f t="shared" si="0"/>
        <v>1200</v>
      </c>
    </row>
    <row r="31" spans="1:7" ht="15" customHeight="1">
      <c r="A31" s="371" t="s">
        <v>486</v>
      </c>
      <c r="B31" s="372">
        <v>4179</v>
      </c>
      <c r="C31" s="373" t="s">
        <v>494</v>
      </c>
      <c r="D31" s="374">
        <v>750</v>
      </c>
      <c r="E31" s="375">
        <v>0</v>
      </c>
      <c r="F31" s="374">
        <v>350</v>
      </c>
      <c r="G31" s="375">
        <f t="shared" si="0"/>
        <v>400</v>
      </c>
    </row>
    <row r="32" spans="1:7" ht="15" customHeight="1">
      <c r="A32" s="371" t="s">
        <v>486</v>
      </c>
      <c r="B32" s="372">
        <v>4210</v>
      </c>
      <c r="C32" s="373" t="s">
        <v>495</v>
      </c>
      <c r="D32" s="374">
        <v>0</v>
      </c>
      <c r="E32" s="375">
        <v>330</v>
      </c>
      <c r="F32" s="374">
        <v>0</v>
      </c>
      <c r="G32" s="375">
        <f t="shared" si="0"/>
        <v>330</v>
      </c>
    </row>
    <row r="33" spans="1:7" ht="15" customHeight="1">
      <c r="A33" s="371" t="s">
        <v>486</v>
      </c>
      <c r="B33" s="372">
        <v>4218</v>
      </c>
      <c r="C33" s="373" t="s">
        <v>495</v>
      </c>
      <c r="D33" s="374">
        <v>15000</v>
      </c>
      <c r="E33" s="375">
        <v>0</v>
      </c>
      <c r="F33" s="374">
        <v>8550</v>
      </c>
      <c r="G33" s="375">
        <f t="shared" si="0"/>
        <v>6450</v>
      </c>
    </row>
    <row r="34" spans="1:7" ht="15" customHeight="1">
      <c r="A34" s="371" t="s">
        <v>486</v>
      </c>
      <c r="B34" s="372">
        <v>4219</v>
      </c>
      <c r="C34" s="373" t="s">
        <v>495</v>
      </c>
      <c r="D34" s="374">
        <v>5000</v>
      </c>
      <c r="E34" s="375">
        <v>0</v>
      </c>
      <c r="F34" s="374">
        <v>2850</v>
      </c>
      <c r="G34" s="375">
        <f t="shared" si="0"/>
        <v>2150</v>
      </c>
    </row>
    <row r="35" spans="1:7" ht="15" customHeight="1">
      <c r="A35" s="371" t="s">
        <v>486</v>
      </c>
      <c r="B35" s="372">
        <v>4228</v>
      </c>
      <c r="C35" s="373" t="s">
        <v>496</v>
      </c>
      <c r="D35" s="374">
        <v>2250</v>
      </c>
      <c r="E35" s="375">
        <v>0</v>
      </c>
      <c r="F35" s="374">
        <v>1627</v>
      </c>
      <c r="G35" s="375">
        <f t="shared" si="0"/>
        <v>623</v>
      </c>
    </row>
    <row r="36" spans="1:7" ht="15" customHeight="1">
      <c r="A36" s="371" t="s">
        <v>486</v>
      </c>
      <c r="B36" s="372">
        <v>4229</v>
      </c>
      <c r="C36" s="373" t="s">
        <v>496</v>
      </c>
      <c r="D36" s="374">
        <v>750</v>
      </c>
      <c r="E36" s="375">
        <v>0</v>
      </c>
      <c r="F36" s="374">
        <v>542</v>
      </c>
      <c r="G36" s="375">
        <f t="shared" si="0"/>
        <v>208</v>
      </c>
    </row>
    <row r="37" spans="1:7" ht="15" customHeight="1">
      <c r="A37" s="371" t="s">
        <v>486</v>
      </c>
      <c r="B37" s="372">
        <v>4260</v>
      </c>
      <c r="C37" s="373" t="s">
        <v>497</v>
      </c>
      <c r="D37" s="374">
        <v>0</v>
      </c>
      <c r="E37" s="375">
        <v>937</v>
      </c>
      <c r="F37" s="374">
        <v>0</v>
      </c>
      <c r="G37" s="375">
        <f t="shared" si="0"/>
        <v>937</v>
      </c>
    </row>
    <row r="38" spans="1:7" ht="15" customHeight="1">
      <c r="A38" s="371" t="s">
        <v>486</v>
      </c>
      <c r="B38" s="372">
        <v>4268</v>
      </c>
      <c r="C38" s="373" t="s">
        <v>497</v>
      </c>
      <c r="D38" s="374">
        <v>4500</v>
      </c>
      <c r="E38" s="375">
        <v>0</v>
      </c>
      <c r="F38" s="374">
        <v>2100</v>
      </c>
      <c r="G38" s="375">
        <f t="shared" si="0"/>
        <v>2400</v>
      </c>
    </row>
    <row r="39" spans="1:7" ht="15" customHeight="1">
      <c r="A39" s="371" t="s">
        <v>486</v>
      </c>
      <c r="B39" s="372">
        <v>4269</v>
      </c>
      <c r="C39" s="373" t="s">
        <v>497</v>
      </c>
      <c r="D39" s="374">
        <v>1500</v>
      </c>
      <c r="E39" s="375">
        <v>0</v>
      </c>
      <c r="F39" s="374">
        <v>700</v>
      </c>
      <c r="G39" s="375">
        <f t="shared" si="0"/>
        <v>800</v>
      </c>
    </row>
    <row r="40" spans="1:7" ht="15" customHeight="1">
      <c r="A40" s="371" t="s">
        <v>486</v>
      </c>
      <c r="B40" s="372">
        <v>4278</v>
      </c>
      <c r="C40" s="373" t="s">
        <v>498</v>
      </c>
      <c r="D40" s="374">
        <v>3750</v>
      </c>
      <c r="E40" s="375">
        <v>0</v>
      </c>
      <c r="F40" s="374">
        <v>3262</v>
      </c>
      <c r="G40" s="375">
        <f t="shared" si="0"/>
        <v>488</v>
      </c>
    </row>
    <row r="41" spans="1:7" ht="15" customHeight="1">
      <c r="A41" s="371" t="s">
        <v>486</v>
      </c>
      <c r="B41" s="372">
        <v>4279</v>
      </c>
      <c r="C41" s="373" t="s">
        <v>498</v>
      </c>
      <c r="D41" s="374">
        <v>1250</v>
      </c>
      <c r="E41" s="375">
        <v>0</v>
      </c>
      <c r="F41" s="374">
        <v>1088</v>
      </c>
      <c r="G41" s="375">
        <f t="shared" si="0"/>
        <v>162</v>
      </c>
    </row>
    <row r="42" spans="1:7" ht="15" customHeight="1">
      <c r="A42" s="371" t="s">
        <v>486</v>
      </c>
      <c r="B42" s="372">
        <v>4300</v>
      </c>
      <c r="C42" s="373" t="s">
        <v>488</v>
      </c>
      <c r="D42" s="374">
        <v>0</v>
      </c>
      <c r="E42" s="375">
        <v>1310</v>
      </c>
      <c r="F42" s="374">
        <v>0</v>
      </c>
      <c r="G42" s="375">
        <f t="shared" si="0"/>
        <v>1310</v>
      </c>
    </row>
    <row r="43" spans="1:7" ht="15" customHeight="1">
      <c r="A43" s="371" t="s">
        <v>486</v>
      </c>
      <c r="B43" s="372">
        <v>4308</v>
      </c>
      <c r="C43" s="373" t="s">
        <v>488</v>
      </c>
      <c r="D43" s="374">
        <v>15750</v>
      </c>
      <c r="E43" s="375">
        <v>0</v>
      </c>
      <c r="F43" s="374">
        <v>8485</v>
      </c>
      <c r="G43" s="375">
        <f t="shared" si="0"/>
        <v>7265</v>
      </c>
    </row>
    <row r="44" spans="1:7" ht="15" customHeight="1">
      <c r="A44" s="371" t="s">
        <v>486</v>
      </c>
      <c r="B44" s="372">
        <v>4309</v>
      </c>
      <c r="C44" s="373" t="s">
        <v>488</v>
      </c>
      <c r="D44" s="374">
        <v>5250</v>
      </c>
      <c r="E44" s="375">
        <v>0</v>
      </c>
      <c r="F44" s="374">
        <v>2828</v>
      </c>
      <c r="G44" s="375">
        <f t="shared" si="0"/>
        <v>2422</v>
      </c>
    </row>
    <row r="45" spans="1:7" ht="15" customHeight="1">
      <c r="A45" s="371" t="s">
        <v>486</v>
      </c>
      <c r="B45" s="372">
        <v>4360</v>
      </c>
      <c r="C45" s="373" t="s">
        <v>499</v>
      </c>
      <c r="D45" s="374">
        <v>0</v>
      </c>
      <c r="E45" s="375">
        <v>185</v>
      </c>
      <c r="F45" s="374">
        <v>0</v>
      </c>
      <c r="G45" s="375">
        <f t="shared" si="0"/>
        <v>185</v>
      </c>
    </row>
    <row r="46" spans="1:7" ht="15" customHeight="1">
      <c r="A46" s="371" t="s">
        <v>486</v>
      </c>
      <c r="B46" s="372">
        <v>4368</v>
      </c>
      <c r="C46" s="373" t="s">
        <v>499</v>
      </c>
      <c r="D46" s="374">
        <v>1500</v>
      </c>
      <c r="E46" s="375">
        <v>0</v>
      </c>
      <c r="F46" s="374">
        <v>863</v>
      </c>
      <c r="G46" s="375">
        <f t="shared" si="0"/>
        <v>637</v>
      </c>
    </row>
    <row r="47" spans="1:7" ht="15" customHeight="1">
      <c r="A47" s="371" t="s">
        <v>486</v>
      </c>
      <c r="B47" s="372">
        <v>4369</v>
      </c>
      <c r="C47" s="373" t="s">
        <v>499</v>
      </c>
      <c r="D47" s="374">
        <v>500</v>
      </c>
      <c r="E47" s="375">
        <v>0</v>
      </c>
      <c r="F47" s="374">
        <v>287</v>
      </c>
      <c r="G47" s="375">
        <f t="shared" si="0"/>
        <v>213</v>
      </c>
    </row>
    <row r="48" spans="1:7" ht="28.9" customHeight="1">
      <c r="A48" s="371" t="s">
        <v>486</v>
      </c>
      <c r="B48" s="372">
        <v>4400</v>
      </c>
      <c r="C48" s="373" t="s">
        <v>500</v>
      </c>
      <c r="D48" s="374">
        <v>0</v>
      </c>
      <c r="E48" s="375">
        <v>2268</v>
      </c>
      <c r="F48" s="374">
        <v>0</v>
      </c>
      <c r="G48" s="375">
        <f t="shared" si="0"/>
        <v>2268</v>
      </c>
    </row>
    <row r="49" spans="1:7" ht="28.9" customHeight="1">
      <c r="A49" s="371" t="s">
        <v>486</v>
      </c>
      <c r="B49" s="372">
        <v>4408</v>
      </c>
      <c r="C49" s="373" t="s">
        <v>500</v>
      </c>
      <c r="D49" s="374">
        <v>23250</v>
      </c>
      <c r="E49" s="375">
        <v>0</v>
      </c>
      <c r="F49" s="374">
        <v>6299</v>
      </c>
      <c r="G49" s="375">
        <f t="shared" si="0"/>
        <v>16951</v>
      </c>
    </row>
    <row r="50" spans="1:7" ht="28.9" customHeight="1">
      <c r="A50" s="371" t="s">
        <v>486</v>
      </c>
      <c r="B50" s="372">
        <v>4409</v>
      </c>
      <c r="C50" s="373" t="s">
        <v>500</v>
      </c>
      <c r="D50" s="374">
        <v>7750</v>
      </c>
      <c r="E50" s="375">
        <v>0</v>
      </c>
      <c r="F50" s="374">
        <v>2099</v>
      </c>
      <c r="G50" s="375">
        <f t="shared" si="0"/>
        <v>5651</v>
      </c>
    </row>
    <row r="51" spans="1:7" ht="15" customHeight="1">
      <c r="A51" s="371" t="s">
        <v>486</v>
      </c>
      <c r="B51" s="372">
        <v>4418</v>
      </c>
      <c r="C51" s="373" t="s">
        <v>501</v>
      </c>
      <c r="D51" s="374">
        <v>2625</v>
      </c>
      <c r="E51" s="375">
        <v>0</v>
      </c>
      <c r="F51" s="374">
        <v>2594</v>
      </c>
      <c r="G51" s="375">
        <f t="shared" si="0"/>
        <v>31</v>
      </c>
    </row>
    <row r="52" spans="1:7" ht="15" customHeight="1">
      <c r="A52" s="371" t="s">
        <v>486</v>
      </c>
      <c r="B52" s="372">
        <v>4419</v>
      </c>
      <c r="C52" s="373" t="s">
        <v>501</v>
      </c>
      <c r="D52" s="374">
        <v>875</v>
      </c>
      <c r="E52" s="375">
        <v>0</v>
      </c>
      <c r="F52" s="374">
        <v>864</v>
      </c>
      <c r="G52" s="375">
        <f t="shared" si="0"/>
        <v>11</v>
      </c>
    </row>
    <row r="53" spans="1:7" ht="15" customHeight="1">
      <c r="A53" s="371" t="s">
        <v>486</v>
      </c>
      <c r="B53" s="372">
        <v>4420</v>
      </c>
      <c r="C53" s="373" t="s">
        <v>502</v>
      </c>
      <c r="D53" s="374">
        <v>0</v>
      </c>
      <c r="E53" s="375">
        <v>483</v>
      </c>
      <c r="F53" s="374">
        <v>0</v>
      </c>
      <c r="G53" s="375">
        <f t="shared" si="0"/>
        <v>483</v>
      </c>
    </row>
    <row r="54" spans="1:7" ht="15" customHeight="1">
      <c r="A54" s="371" t="s">
        <v>486</v>
      </c>
      <c r="B54" s="372">
        <v>4428</v>
      </c>
      <c r="C54" s="373" t="s">
        <v>502</v>
      </c>
      <c r="D54" s="374">
        <v>1125</v>
      </c>
      <c r="E54" s="375">
        <v>0</v>
      </c>
      <c r="F54" s="374">
        <v>1125</v>
      </c>
      <c r="G54" s="375">
        <f t="shared" si="0"/>
        <v>0</v>
      </c>
    </row>
    <row r="55" spans="1:7" ht="15" customHeight="1">
      <c r="A55" s="371" t="s">
        <v>486</v>
      </c>
      <c r="B55" s="372">
        <v>4429</v>
      </c>
      <c r="C55" s="373" t="s">
        <v>502</v>
      </c>
      <c r="D55" s="374">
        <v>375</v>
      </c>
      <c r="E55" s="375">
        <v>0</v>
      </c>
      <c r="F55" s="374">
        <v>375</v>
      </c>
      <c r="G55" s="375">
        <f t="shared" si="0"/>
        <v>0</v>
      </c>
    </row>
    <row r="56" spans="1:7" ht="15" customHeight="1">
      <c r="A56" s="371" t="s">
        <v>486</v>
      </c>
      <c r="B56" s="372">
        <v>4430</v>
      </c>
      <c r="C56" s="373" t="s">
        <v>503</v>
      </c>
      <c r="D56" s="374">
        <v>0</v>
      </c>
      <c r="E56" s="375">
        <v>1098</v>
      </c>
      <c r="F56" s="374">
        <v>0</v>
      </c>
      <c r="G56" s="375">
        <f t="shared" si="0"/>
        <v>1098</v>
      </c>
    </row>
    <row r="57" spans="1:7" ht="15" customHeight="1">
      <c r="A57" s="371" t="s">
        <v>486</v>
      </c>
      <c r="B57" s="372">
        <v>4438</v>
      </c>
      <c r="C57" s="373" t="s">
        <v>503</v>
      </c>
      <c r="D57" s="374">
        <v>1500</v>
      </c>
      <c r="E57" s="375">
        <v>0</v>
      </c>
      <c r="F57" s="374">
        <v>1500</v>
      </c>
      <c r="G57" s="375">
        <f t="shared" si="0"/>
        <v>0</v>
      </c>
    </row>
    <row r="58" spans="1:7" ht="15" customHeight="1">
      <c r="A58" s="371" t="s">
        <v>486</v>
      </c>
      <c r="B58" s="372">
        <v>4439</v>
      </c>
      <c r="C58" s="373" t="s">
        <v>503</v>
      </c>
      <c r="D58" s="374">
        <v>500</v>
      </c>
      <c r="E58" s="375">
        <v>0</v>
      </c>
      <c r="F58" s="374">
        <v>500</v>
      </c>
      <c r="G58" s="375">
        <f t="shared" si="0"/>
        <v>0</v>
      </c>
    </row>
    <row r="59" spans="1:7" ht="28.9" customHeight="1">
      <c r="A59" s="371" t="s">
        <v>486</v>
      </c>
      <c r="B59" s="372">
        <v>4708</v>
      </c>
      <c r="C59" s="373" t="s">
        <v>504</v>
      </c>
      <c r="D59" s="374">
        <v>3750</v>
      </c>
      <c r="E59" s="375">
        <v>0</v>
      </c>
      <c r="F59" s="374">
        <v>2374</v>
      </c>
      <c r="G59" s="375">
        <f t="shared" si="0"/>
        <v>1376</v>
      </c>
    </row>
    <row r="60" spans="1:7" ht="28.9" customHeight="1">
      <c r="A60" s="376" t="s">
        <v>486</v>
      </c>
      <c r="B60" s="377">
        <v>4709</v>
      </c>
      <c r="C60" s="378" t="s">
        <v>504</v>
      </c>
      <c r="D60" s="379">
        <v>1250</v>
      </c>
      <c r="E60" s="380">
        <v>0</v>
      </c>
      <c r="F60" s="379">
        <v>791</v>
      </c>
      <c r="G60" s="380">
        <f t="shared" si="0"/>
        <v>459</v>
      </c>
    </row>
    <row r="61" spans="1:7" s="387" customFormat="1" ht="15" customHeight="1">
      <c r="A61" s="388" t="s">
        <v>45</v>
      </c>
      <c r="B61" s="389" t="s">
        <v>486</v>
      </c>
      <c r="C61" s="390" t="s">
        <v>46</v>
      </c>
      <c r="D61" s="391">
        <v>7833813</v>
      </c>
      <c r="E61" s="392">
        <f>E62+E70</f>
        <v>6242876</v>
      </c>
      <c r="F61" s="392">
        <f>F62+F70</f>
        <v>87605</v>
      </c>
      <c r="G61" s="392">
        <f t="shared" si="0"/>
        <v>13989084</v>
      </c>
    </row>
    <row r="62" spans="1:7" s="387" customFormat="1" ht="15" customHeight="1">
      <c r="A62" s="381">
        <v>15011</v>
      </c>
      <c r="B62" s="382" t="s">
        <v>486</v>
      </c>
      <c r="C62" s="383" t="s">
        <v>505</v>
      </c>
      <c r="D62" s="384">
        <v>5813198</v>
      </c>
      <c r="E62" s="385">
        <f>SUM(E63:E69)</f>
        <v>6240216</v>
      </c>
      <c r="F62" s="385">
        <f>SUM(F63:F69)</f>
        <v>0</v>
      </c>
      <c r="G62" s="385">
        <f t="shared" si="0"/>
        <v>12053414</v>
      </c>
    </row>
    <row r="63" spans="1:7" ht="67.900000000000006" customHeight="1">
      <c r="A63" s="371" t="s">
        <v>486</v>
      </c>
      <c r="B63" s="372">
        <v>2007</v>
      </c>
      <c r="C63" s="373" t="s">
        <v>506</v>
      </c>
      <c r="D63" s="374">
        <v>0</v>
      </c>
      <c r="E63" s="375">
        <v>6000000</v>
      </c>
      <c r="F63" s="374">
        <v>0</v>
      </c>
      <c r="G63" s="375">
        <f t="shared" si="0"/>
        <v>6000000</v>
      </c>
    </row>
    <row r="64" spans="1:7" ht="15" customHeight="1">
      <c r="A64" s="371" t="s">
        <v>486</v>
      </c>
      <c r="B64" s="372">
        <v>4017</v>
      </c>
      <c r="C64" s="373" t="s">
        <v>490</v>
      </c>
      <c r="D64" s="374">
        <v>0</v>
      </c>
      <c r="E64" s="375">
        <v>159646</v>
      </c>
      <c r="F64" s="374">
        <v>0</v>
      </c>
      <c r="G64" s="375">
        <f t="shared" si="0"/>
        <v>159646</v>
      </c>
    </row>
    <row r="65" spans="1:7" ht="15" customHeight="1">
      <c r="A65" s="371" t="s">
        <v>486</v>
      </c>
      <c r="B65" s="372">
        <v>4117</v>
      </c>
      <c r="C65" s="373" t="s">
        <v>492</v>
      </c>
      <c r="D65" s="374">
        <v>0</v>
      </c>
      <c r="E65" s="375">
        <v>27443</v>
      </c>
      <c r="F65" s="374">
        <v>0</v>
      </c>
      <c r="G65" s="375">
        <f t="shared" si="0"/>
        <v>27443</v>
      </c>
    </row>
    <row r="66" spans="1:7" ht="15" customHeight="1">
      <c r="A66" s="371" t="s">
        <v>486</v>
      </c>
      <c r="B66" s="372">
        <v>4127</v>
      </c>
      <c r="C66" s="373" t="s">
        <v>493</v>
      </c>
      <c r="D66" s="374">
        <v>0</v>
      </c>
      <c r="E66" s="375">
        <v>3911</v>
      </c>
      <c r="F66" s="374">
        <v>0</v>
      </c>
      <c r="G66" s="375">
        <f t="shared" si="0"/>
        <v>3911</v>
      </c>
    </row>
    <row r="67" spans="1:7" ht="15" customHeight="1">
      <c r="A67" s="371" t="s">
        <v>486</v>
      </c>
      <c r="B67" s="372">
        <v>4217</v>
      </c>
      <c r="C67" s="373" t="s">
        <v>495</v>
      </c>
      <c r="D67" s="374">
        <v>0</v>
      </c>
      <c r="E67" s="375">
        <v>45000</v>
      </c>
      <c r="F67" s="374">
        <v>0</v>
      </c>
      <c r="G67" s="375">
        <f t="shared" si="0"/>
        <v>45000</v>
      </c>
    </row>
    <row r="68" spans="1:7" ht="15" customHeight="1">
      <c r="A68" s="371" t="s">
        <v>486</v>
      </c>
      <c r="B68" s="372">
        <v>4307</v>
      </c>
      <c r="C68" s="373" t="s">
        <v>488</v>
      </c>
      <c r="D68" s="374">
        <v>0</v>
      </c>
      <c r="E68" s="375">
        <v>4000</v>
      </c>
      <c r="F68" s="374">
        <v>0</v>
      </c>
      <c r="G68" s="375">
        <f t="shared" si="0"/>
        <v>4000</v>
      </c>
    </row>
    <row r="69" spans="1:7" ht="54" customHeight="1">
      <c r="A69" s="371" t="s">
        <v>486</v>
      </c>
      <c r="B69" s="372">
        <v>6669</v>
      </c>
      <c r="C69" s="373" t="s">
        <v>507</v>
      </c>
      <c r="D69" s="374">
        <v>4717</v>
      </c>
      <c r="E69" s="375">
        <v>216</v>
      </c>
      <c r="F69" s="374">
        <v>0</v>
      </c>
      <c r="G69" s="375">
        <f t="shared" si="0"/>
        <v>4933</v>
      </c>
    </row>
    <row r="70" spans="1:7" s="387" customFormat="1" ht="15" customHeight="1">
      <c r="A70" s="381">
        <v>15013</v>
      </c>
      <c r="B70" s="382" t="s">
        <v>486</v>
      </c>
      <c r="C70" s="383" t="s">
        <v>50</v>
      </c>
      <c r="D70" s="384">
        <v>1818007</v>
      </c>
      <c r="E70" s="385">
        <f>SUM(E71:E73)</f>
        <v>2660</v>
      </c>
      <c r="F70" s="385">
        <f>SUM(F71:F73)</f>
        <v>87605</v>
      </c>
      <c r="G70" s="385">
        <f t="shared" si="0"/>
        <v>1733062</v>
      </c>
    </row>
    <row r="71" spans="1:7" ht="67.900000000000006" customHeight="1">
      <c r="A71" s="371" t="s">
        <v>486</v>
      </c>
      <c r="B71" s="372">
        <v>2009</v>
      </c>
      <c r="C71" s="373" t="s">
        <v>506</v>
      </c>
      <c r="D71" s="374">
        <v>1396206</v>
      </c>
      <c r="E71" s="375">
        <v>0</v>
      </c>
      <c r="F71" s="374">
        <v>87605</v>
      </c>
      <c r="G71" s="375">
        <f t="shared" si="0"/>
        <v>1308601</v>
      </c>
    </row>
    <row r="72" spans="1:7" ht="55.15" customHeight="1">
      <c r="A72" s="371" t="s">
        <v>486</v>
      </c>
      <c r="B72" s="372">
        <v>2917</v>
      </c>
      <c r="C72" s="373" t="s">
        <v>508</v>
      </c>
      <c r="D72" s="374">
        <v>4764</v>
      </c>
      <c r="E72" s="375">
        <v>2261</v>
      </c>
      <c r="F72" s="374">
        <v>0</v>
      </c>
      <c r="G72" s="375">
        <f t="shared" si="0"/>
        <v>7025</v>
      </c>
    </row>
    <row r="73" spans="1:7" ht="55.15" customHeight="1">
      <c r="A73" s="371" t="s">
        <v>486</v>
      </c>
      <c r="B73" s="372">
        <v>2919</v>
      </c>
      <c r="C73" s="373" t="s">
        <v>508</v>
      </c>
      <c r="D73" s="374">
        <v>4136</v>
      </c>
      <c r="E73" s="375">
        <v>399</v>
      </c>
      <c r="F73" s="374">
        <v>0</v>
      </c>
      <c r="G73" s="375">
        <f t="shared" si="0"/>
        <v>4535</v>
      </c>
    </row>
    <row r="74" spans="1:7" s="387" customFormat="1" ht="15" customHeight="1">
      <c r="A74" s="388" t="s">
        <v>52</v>
      </c>
      <c r="B74" s="389" t="s">
        <v>486</v>
      </c>
      <c r="C74" s="390" t="s">
        <v>53</v>
      </c>
      <c r="D74" s="391">
        <v>424950</v>
      </c>
      <c r="E74" s="392">
        <f>E75</f>
        <v>0</v>
      </c>
      <c r="F74" s="392">
        <f>F75</f>
        <v>31400</v>
      </c>
      <c r="G74" s="392">
        <f t="shared" si="0"/>
        <v>393550</v>
      </c>
    </row>
    <row r="75" spans="1:7" s="387" customFormat="1" ht="15" customHeight="1">
      <c r="A75" s="381">
        <v>50005</v>
      </c>
      <c r="B75" s="382" t="s">
        <v>486</v>
      </c>
      <c r="C75" s="383" t="s">
        <v>55</v>
      </c>
      <c r="D75" s="384">
        <v>424950</v>
      </c>
      <c r="E75" s="385">
        <f>E76</f>
        <v>0</v>
      </c>
      <c r="F75" s="385">
        <f>F76</f>
        <v>31400</v>
      </c>
      <c r="G75" s="385">
        <f t="shared" si="0"/>
        <v>393550</v>
      </c>
    </row>
    <row r="76" spans="1:7" ht="15" customHeight="1">
      <c r="A76" s="371" t="s">
        <v>486</v>
      </c>
      <c r="B76" s="372">
        <v>4300</v>
      </c>
      <c r="C76" s="373" t="s">
        <v>488</v>
      </c>
      <c r="D76" s="374">
        <v>125900</v>
      </c>
      <c r="E76" s="375">
        <v>0</v>
      </c>
      <c r="F76" s="374">
        <v>31400</v>
      </c>
      <c r="G76" s="375">
        <f t="shared" ref="G76:G139" si="1">D76+E76-F76</f>
        <v>94500</v>
      </c>
    </row>
    <row r="77" spans="1:7" s="387" customFormat="1" ht="15" customHeight="1">
      <c r="A77" s="388" t="s">
        <v>56</v>
      </c>
      <c r="B77" s="389" t="s">
        <v>486</v>
      </c>
      <c r="C77" s="390" t="s">
        <v>57</v>
      </c>
      <c r="D77" s="391">
        <v>380524620</v>
      </c>
      <c r="E77" s="392">
        <f>E78+E82</f>
        <v>2635000</v>
      </c>
      <c r="F77" s="392">
        <f>F78+F82</f>
        <v>16212482</v>
      </c>
      <c r="G77" s="392">
        <f t="shared" si="1"/>
        <v>366947138</v>
      </c>
    </row>
    <row r="78" spans="1:7" s="387" customFormat="1" ht="15" customHeight="1">
      <c r="A78" s="381">
        <v>60013</v>
      </c>
      <c r="B78" s="382" t="s">
        <v>486</v>
      </c>
      <c r="C78" s="383" t="s">
        <v>66</v>
      </c>
      <c r="D78" s="384">
        <v>194046314</v>
      </c>
      <c r="E78" s="385">
        <f>SUM(E79:E81)</f>
        <v>2635000</v>
      </c>
      <c r="F78" s="385">
        <f>SUM(F79:F81)</f>
        <v>16198482</v>
      </c>
      <c r="G78" s="385">
        <f t="shared" si="1"/>
        <v>180482832</v>
      </c>
    </row>
    <row r="79" spans="1:7" ht="15" customHeight="1">
      <c r="A79" s="371" t="s">
        <v>486</v>
      </c>
      <c r="B79" s="372">
        <v>6050</v>
      </c>
      <c r="C79" s="373" t="s">
        <v>509</v>
      </c>
      <c r="D79" s="374">
        <v>72098018</v>
      </c>
      <c r="E79" s="375">
        <v>0</v>
      </c>
      <c r="F79" s="374">
        <v>1434234</v>
      </c>
      <c r="G79" s="375">
        <f t="shared" si="1"/>
        <v>70663784</v>
      </c>
    </row>
    <row r="80" spans="1:7" ht="15" customHeight="1">
      <c r="A80" s="371" t="s">
        <v>486</v>
      </c>
      <c r="B80" s="372">
        <v>6057</v>
      </c>
      <c r="C80" s="373" t="s">
        <v>509</v>
      </c>
      <c r="D80" s="374">
        <v>60321286</v>
      </c>
      <c r="E80" s="375">
        <v>0</v>
      </c>
      <c r="F80" s="374">
        <v>14764248</v>
      </c>
      <c r="G80" s="375">
        <f t="shared" si="1"/>
        <v>45557038</v>
      </c>
    </row>
    <row r="81" spans="1:7" ht="15" customHeight="1">
      <c r="A81" s="371" t="s">
        <v>486</v>
      </c>
      <c r="B81" s="372">
        <v>6060</v>
      </c>
      <c r="C81" s="373" t="s">
        <v>510</v>
      </c>
      <c r="D81" s="374">
        <v>3865000</v>
      </c>
      <c r="E81" s="375">
        <v>2635000</v>
      </c>
      <c r="F81" s="374">
        <v>0</v>
      </c>
      <c r="G81" s="375">
        <f t="shared" si="1"/>
        <v>6500000</v>
      </c>
    </row>
    <row r="82" spans="1:7" s="387" customFormat="1" ht="15" customHeight="1">
      <c r="A82" s="381">
        <v>60095</v>
      </c>
      <c r="B82" s="382" t="s">
        <v>486</v>
      </c>
      <c r="C82" s="383" t="s">
        <v>37</v>
      </c>
      <c r="D82" s="384">
        <v>817406</v>
      </c>
      <c r="E82" s="385">
        <f>SUM(E83:E84)</f>
        <v>0</v>
      </c>
      <c r="F82" s="385">
        <f>SUM(F83:F84)</f>
        <v>14000</v>
      </c>
      <c r="G82" s="385">
        <f t="shared" si="1"/>
        <v>803406</v>
      </c>
    </row>
    <row r="83" spans="1:7" ht="15" customHeight="1">
      <c r="A83" s="371" t="s">
        <v>486</v>
      </c>
      <c r="B83" s="372">
        <v>4300</v>
      </c>
      <c r="C83" s="373" t="s">
        <v>488</v>
      </c>
      <c r="D83" s="374">
        <v>192100</v>
      </c>
      <c r="E83" s="375">
        <v>0</v>
      </c>
      <c r="F83" s="374">
        <v>13000</v>
      </c>
      <c r="G83" s="375">
        <f t="shared" si="1"/>
        <v>179100</v>
      </c>
    </row>
    <row r="84" spans="1:7" ht="15" customHeight="1">
      <c r="A84" s="371" t="s">
        <v>486</v>
      </c>
      <c r="B84" s="372">
        <v>4410</v>
      </c>
      <c r="C84" s="373" t="s">
        <v>501</v>
      </c>
      <c r="D84" s="374">
        <v>1000</v>
      </c>
      <c r="E84" s="375">
        <v>0</v>
      </c>
      <c r="F84" s="374">
        <v>1000</v>
      </c>
      <c r="G84" s="375">
        <f t="shared" si="1"/>
        <v>0</v>
      </c>
    </row>
    <row r="85" spans="1:7" s="387" customFormat="1" ht="15" customHeight="1">
      <c r="A85" s="388" t="s">
        <v>78</v>
      </c>
      <c r="B85" s="389" t="s">
        <v>486</v>
      </c>
      <c r="C85" s="390" t="s">
        <v>79</v>
      </c>
      <c r="D85" s="391">
        <v>2081900</v>
      </c>
      <c r="E85" s="392">
        <f>E86</f>
        <v>0</v>
      </c>
      <c r="F85" s="392">
        <f>F86</f>
        <v>170000</v>
      </c>
      <c r="G85" s="392">
        <f t="shared" si="1"/>
        <v>1911900</v>
      </c>
    </row>
    <row r="86" spans="1:7" s="387" customFormat="1" ht="15" customHeight="1">
      <c r="A86" s="381">
        <v>70005</v>
      </c>
      <c r="B86" s="382" t="s">
        <v>486</v>
      </c>
      <c r="C86" s="383" t="s">
        <v>81</v>
      </c>
      <c r="D86" s="384">
        <v>2081900</v>
      </c>
      <c r="E86" s="385">
        <f>E87</f>
        <v>0</v>
      </c>
      <c r="F86" s="385">
        <f>F87</f>
        <v>170000</v>
      </c>
      <c r="G86" s="385">
        <f t="shared" si="1"/>
        <v>1911900</v>
      </c>
    </row>
    <row r="87" spans="1:7" ht="15" customHeight="1">
      <c r="A87" s="371" t="s">
        <v>486</v>
      </c>
      <c r="B87" s="372">
        <v>4270</v>
      </c>
      <c r="C87" s="373" t="s">
        <v>498</v>
      </c>
      <c r="D87" s="374">
        <v>442500</v>
      </c>
      <c r="E87" s="375">
        <v>0</v>
      </c>
      <c r="F87" s="374">
        <v>170000</v>
      </c>
      <c r="G87" s="375">
        <f t="shared" si="1"/>
        <v>272500</v>
      </c>
    </row>
    <row r="88" spans="1:7" s="387" customFormat="1" ht="15" customHeight="1">
      <c r="A88" s="388" t="s">
        <v>82</v>
      </c>
      <c r="B88" s="389" t="s">
        <v>486</v>
      </c>
      <c r="C88" s="390" t="s">
        <v>83</v>
      </c>
      <c r="D88" s="391">
        <v>4877270</v>
      </c>
      <c r="E88" s="392">
        <f>E89+E92+E97</f>
        <v>3540120</v>
      </c>
      <c r="F88" s="392">
        <f>F89+F92+F97</f>
        <v>17475</v>
      </c>
      <c r="G88" s="392">
        <f t="shared" si="1"/>
        <v>8399915</v>
      </c>
    </row>
    <row r="89" spans="1:7" s="387" customFormat="1" ht="15" customHeight="1">
      <c r="A89" s="381">
        <v>71003</v>
      </c>
      <c r="B89" s="382" t="s">
        <v>486</v>
      </c>
      <c r="C89" s="383" t="s">
        <v>85</v>
      </c>
      <c r="D89" s="384">
        <v>4278770</v>
      </c>
      <c r="E89" s="385">
        <f>SUM(E90:E91)</f>
        <v>40120</v>
      </c>
      <c r="F89" s="385">
        <f>SUM(F90:F91)</f>
        <v>0</v>
      </c>
      <c r="G89" s="385">
        <f t="shared" si="1"/>
        <v>4318890</v>
      </c>
    </row>
    <row r="90" spans="1:7" ht="15" customHeight="1">
      <c r="A90" s="371" t="s">
        <v>486</v>
      </c>
      <c r="B90" s="372">
        <v>4010</v>
      </c>
      <c r="C90" s="373" t="s">
        <v>490</v>
      </c>
      <c r="D90" s="374">
        <v>2934539</v>
      </c>
      <c r="E90" s="375">
        <v>39750</v>
      </c>
      <c r="F90" s="374">
        <v>0</v>
      </c>
      <c r="G90" s="375">
        <f t="shared" si="1"/>
        <v>2974289</v>
      </c>
    </row>
    <row r="91" spans="1:7" ht="15" customHeight="1">
      <c r="A91" s="371" t="s">
        <v>486</v>
      </c>
      <c r="B91" s="372">
        <v>4110</v>
      </c>
      <c r="C91" s="373" t="s">
        <v>492</v>
      </c>
      <c r="D91" s="374">
        <v>526067</v>
      </c>
      <c r="E91" s="375">
        <v>370</v>
      </c>
      <c r="F91" s="374">
        <v>0</v>
      </c>
      <c r="G91" s="375">
        <f t="shared" si="1"/>
        <v>526437</v>
      </c>
    </row>
    <row r="92" spans="1:7" s="387" customFormat="1" ht="15" customHeight="1">
      <c r="A92" s="381">
        <v>71004</v>
      </c>
      <c r="B92" s="382" t="s">
        <v>486</v>
      </c>
      <c r="C92" s="383" t="s">
        <v>87</v>
      </c>
      <c r="D92" s="384">
        <v>25500</v>
      </c>
      <c r="E92" s="385">
        <f>SUM(E93:E96)</f>
        <v>0</v>
      </c>
      <c r="F92" s="385">
        <f>SUM(F93:F96)</f>
        <v>17475</v>
      </c>
      <c r="G92" s="385">
        <f t="shared" si="1"/>
        <v>8025</v>
      </c>
    </row>
    <row r="93" spans="1:7" ht="15" customHeight="1">
      <c r="A93" s="371" t="s">
        <v>486</v>
      </c>
      <c r="B93" s="372">
        <v>4110</v>
      </c>
      <c r="C93" s="373" t="s">
        <v>492</v>
      </c>
      <c r="D93" s="374">
        <v>200</v>
      </c>
      <c r="E93" s="375">
        <v>0</v>
      </c>
      <c r="F93" s="374">
        <v>100</v>
      </c>
      <c r="G93" s="375">
        <f t="shared" si="1"/>
        <v>100</v>
      </c>
    </row>
    <row r="94" spans="1:7" ht="15" customHeight="1">
      <c r="A94" s="371" t="s">
        <v>486</v>
      </c>
      <c r="B94" s="372">
        <v>4170</v>
      </c>
      <c r="C94" s="373" t="s">
        <v>494</v>
      </c>
      <c r="D94" s="374">
        <v>3400</v>
      </c>
      <c r="E94" s="375">
        <v>0</v>
      </c>
      <c r="F94" s="374">
        <v>3000</v>
      </c>
      <c r="G94" s="375">
        <f t="shared" si="1"/>
        <v>400</v>
      </c>
    </row>
    <row r="95" spans="1:7" ht="15" customHeight="1">
      <c r="A95" s="371" t="s">
        <v>486</v>
      </c>
      <c r="B95" s="372">
        <v>4210</v>
      </c>
      <c r="C95" s="373" t="s">
        <v>495</v>
      </c>
      <c r="D95" s="374">
        <v>3000</v>
      </c>
      <c r="E95" s="375">
        <v>0</v>
      </c>
      <c r="F95" s="374">
        <v>755</v>
      </c>
      <c r="G95" s="375">
        <f t="shared" si="1"/>
        <v>2245</v>
      </c>
    </row>
    <row r="96" spans="1:7" ht="15" customHeight="1">
      <c r="A96" s="371" t="s">
        <v>486</v>
      </c>
      <c r="B96" s="372">
        <v>4300</v>
      </c>
      <c r="C96" s="373" t="s">
        <v>488</v>
      </c>
      <c r="D96" s="374">
        <v>18900</v>
      </c>
      <c r="E96" s="375">
        <v>0</v>
      </c>
      <c r="F96" s="374">
        <v>13620</v>
      </c>
      <c r="G96" s="375">
        <f t="shared" si="1"/>
        <v>5280</v>
      </c>
    </row>
    <row r="97" spans="1:7" s="387" customFormat="1" ht="15" customHeight="1">
      <c r="A97" s="381">
        <v>71095</v>
      </c>
      <c r="B97" s="382" t="s">
        <v>486</v>
      </c>
      <c r="C97" s="383" t="s">
        <v>37</v>
      </c>
      <c r="D97" s="384">
        <v>120000</v>
      </c>
      <c r="E97" s="385">
        <f>SUM(E98)</f>
        <v>3500000</v>
      </c>
      <c r="F97" s="385">
        <f>SUM(F98)</f>
        <v>0</v>
      </c>
      <c r="G97" s="385">
        <f t="shared" si="1"/>
        <v>3620000</v>
      </c>
    </row>
    <row r="98" spans="1:7" ht="16.149999999999999" customHeight="1">
      <c r="A98" s="371" t="s">
        <v>486</v>
      </c>
      <c r="B98" s="372">
        <v>6010</v>
      </c>
      <c r="C98" s="373" t="s">
        <v>511</v>
      </c>
      <c r="D98" s="374">
        <v>120000</v>
      </c>
      <c r="E98" s="375">
        <v>3500000</v>
      </c>
      <c r="F98" s="374">
        <v>0</v>
      </c>
      <c r="G98" s="375">
        <f t="shared" si="1"/>
        <v>3620000</v>
      </c>
    </row>
    <row r="99" spans="1:7" s="387" customFormat="1" ht="15" customHeight="1">
      <c r="A99" s="388" t="s">
        <v>93</v>
      </c>
      <c r="B99" s="389" t="s">
        <v>486</v>
      </c>
      <c r="C99" s="390" t="s">
        <v>94</v>
      </c>
      <c r="D99" s="391">
        <v>73901919</v>
      </c>
      <c r="E99" s="392">
        <f>E100</f>
        <v>3862178</v>
      </c>
      <c r="F99" s="392">
        <f>F100</f>
        <v>0</v>
      </c>
      <c r="G99" s="392">
        <f t="shared" si="1"/>
        <v>77764097</v>
      </c>
    </row>
    <row r="100" spans="1:7" s="387" customFormat="1" ht="15" customHeight="1">
      <c r="A100" s="381">
        <v>72095</v>
      </c>
      <c r="B100" s="382" t="s">
        <v>486</v>
      </c>
      <c r="C100" s="383" t="s">
        <v>37</v>
      </c>
      <c r="D100" s="384">
        <v>73901919</v>
      </c>
      <c r="E100" s="385">
        <f>SUM(E101:E102)</f>
        <v>3862178</v>
      </c>
      <c r="F100" s="385">
        <f>SUM(F101:F102)</f>
        <v>0</v>
      </c>
      <c r="G100" s="385">
        <f t="shared" si="1"/>
        <v>77764097</v>
      </c>
    </row>
    <row r="101" spans="1:7" ht="15" customHeight="1">
      <c r="A101" s="371" t="s">
        <v>486</v>
      </c>
      <c r="B101" s="372">
        <v>4150</v>
      </c>
      <c r="C101" s="373" t="s">
        <v>512</v>
      </c>
      <c r="D101" s="374">
        <v>1074765</v>
      </c>
      <c r="E101" s="375">
        <v>662178</v>
      </c>
      <c r="F101" s="374">
        <v>0</v>
      </c>
      <c r="G101" s="375">
        <f t="shared" si="1"/>
        <v>1736943</v>
      </c>
    </row>
    <row r="102" spans="1:7" ht="30.6" customHeight="1">
      <c r="A102" s="376" t="s">
        <v>486</v>
      </c>
      <c r="B102" s="377">
        <v>6010</v>
      </c>
      <c r="C102" s="378" t="s">
        <v>511</v>
      </c>
      <c r="D102" s="379">
        <v>1054636</v>
      </c>
      <c r="E102" s="380">
        <v>3200000</v>
      </c>
      <c r="F102" s="379">
        <v>0</v>
      </c>
      <c r="G102" s="380">
        <f t="shared" si="1"/>
        <v>4254636</v>
      </c>
    </row>
    <row r="103" spans="1:7" s="387" customFormat="1" ht="15" customHeight="1">
      <c r="A103" s="388" t="s">
        <v>101</v>
      </c>
      <c r="B103" s="389" t="s">
        <v>486</v>
      </c>
      <c r="C103" s="390" t="s">
        <v>102</v>
      </c>
      <c r="D103" s="391">
        <v>114482050</v>
      </c>
      <c r="E103" s="392">
        <f>E104+E125</f>
        <v>1054985</v>
      </c>
      <c r="F103" s="392">
        <f>F104+F125</f>
        <v>1669687</v>
      </c>
      <c r="G103" s="392">
        <f t="shared" si="1"/>
        <v>113867348</v>
      </c>
    </row>
    <row r="104" spans="1:7" s="387" customFormat="1" ht="15" customHeight="1">
      <c r="A104" s="381">
        <v>75018</v>
      </c>
      <c r="B104" s="382" t="s">
        <v>486</v>
      </c>
      <c r="C104" s="383" t="s">
        <v>106</v>
      </c>
      <c r="D104" s="384">
        <v>89266668</v>
      </c>
      <c r="E104" s="385">
        <f>SUM(E105:E124)</f>
        <v>1054985</v>
      </c>
      <c r="F104" s="385">
        <f>SUM(F105:F124)</f>
        <v>1184785</v>
      </c>
      <c r="G104" s="385">
        <f t="shared" si="1"/>
        <v>89136868</v>
      </c>
    </row>
    <row r="105" spans="1:7" ht="15" customHeight="1">
      <c r="A105" s="371" t="s">
        <v>486</v>
      </c>
      <c r="B105" s="372">
        <v>3038</v>
      </c>
      <c r="C105" s="373" t="s">
        <v>513</v>
      </c>
      <c r="D105" s="374">
        <v>4250</v>
      </c>
      <c r="E105" s="375">
        <v>0</v>
      </c>
      <c r="F105" s="374">
        <v>3315</v>
      </c>
      <c r="G105" s="375">
        <f t="shared" si="1"/>
        <v>935</v>
      </c>
    </row>
    <row r="106" spans="1:7" ht="15" customHeight="1">
      <c r="A106" s="371" t="s">
        <v>486</v>
      </c>
      <c r="B106" s="372">
        <v>3039</v>
      </c>
      <c r="C106" s="373" t="s">
        <v>513</v>
      </c>
      <c r="D106" s="374">
        <v>750</v>
      </c>
      <c r="E106" s="375">
        <v>0</v>
      </c>
      <c r="F106" s="374">
        <v>585</v>
      </c>
      <c r="G106" s="375">
        <f t="shared" si="1"/>
        <v>165</v>
      </c>
    </row>
    <row r="107" spans="1:7" ht="15" customHeight="1">
      <c r="A107" s="371" t="s">
        <v>486</v>
      </c>
      <c r="B107" s="372">
        <v>4018</v>
      </c>
      <c r="C107" s="373" t="s">
        <v>490</v>
      </c>
      <c r="D107" s="374">
        <v>21040827</v>
      </c>
      <c r="E107" s="375">
        <v>879567</v>
      </c>
      <c r="F107" s="374">
        <v>0</v>
      </c>
      <c r="G107" s="375">
        <f t="shared" si="1"/>
        <v>21920394</v>
      </c>
    </row>
    <row r="108" spans="1:7" ht="15" customHeight="1">
      <c r="A108" s="371" t="s">
        <v>486</v>
      </c>
      <c r="B108" s="372">
        <v>4019</v>
      </c>
      <c r="C108" s="373" t="s">
        <v>490</v>
      </c>
      <c r="D108" s="374">
        <v>3713087</v>
      </c>
      <c r="E108" s="375">
        <v>155218</v>
      </c>
      <c r="F108" s="374">
        <v>0</v>
      </c>
      <c r="G108" s="375">
        <f t="shared" si="1"/>
        <v>3868305</v>
      </c>
    </row>
    <row r="109" spans="1:7" ht="15" customHeight="1">
      <c r="A109" s="376" t="s">
        <v>486</v>
      </c>
      <c r="B109" s="377">
        <v>4118</v>
      </c>
      <c r="C109" s="378" t="s">
        <v>492</v>
      </c>
      <c r="D109" s="379">
        <v>4250000</v>
      </c>
      <c r="E109" s="380">
        <v>0</v>
      </c>
      <c r="F109" s="379">
        <v>287733</v>
      </c>
      <c r="G109" s="380">
        <f t="shared" si="1"/>
        <v>3962267</v>
      </c>
    </row>
    <row r="110" spans="1:7" ht="15" customHeight="1">
      <c r="A110" s="552" t="s">
        <v>486</v>
      </c>
      <c r="B110" s="553">
        <v>4119</v>
      </c>
      <c r="C110" s="554" t="s">
        <v>492</v>
      </c>
      <c r="D110" s="555">
        <v>750000</v>
      </c>
      <c r="E110" s="556">
        <v>0</v>
      </c>
      <c r="F110" s="555">
        <v>50776</v>
      </c>
      <c r="G110" s="556">
        <f t="shared" si="1"/>
        <v>699224</v>
      </c>
    </row>
    <row r="111" spans="1:7" ht="15" customHeight="1">
      <c r="A111" s="371" t="s">
        <v>486</v>
      </c>
      <c r="B111" s="372">
        <v>4128</v>
      </c>
      <c r="C111" s="373" t="s">
        <v>493</v>
      </c>
      <c r="D111" s="374">
        <v>510000</v>
      </c>
      <c r="E111" s="375">
        <v>0</v>
      </c>
      <c r="F111" s="374">
        <v>27335</v>
      </c>
      <c r="G111" s="375">
        <f t="shared" si="1"/>
        <v>482665</v>
      </c>
    </row>
    <row r="112" spans="1:7" ht="15" customHeight="1">
      <c r="A112" s="371" t="s">
        <v>486</v>
      </c>
      <c r="B112" s="372">
        <v>4129</v>
      </c>
      <c r="C112" s="373" t="s">
        <v>493</v>
      </c>
      <c r="D112" s="374">
        <v>90000</v>
      </c>
      <c r="E112" s="375">
        <v>0</v>
      </c>
      <c r="F112" s="374">
        <v>4824</v>
      </c>
      <c r="G112" s="375">
        <f t="shared" si="1"/>
        <v>85176</v>
      </c>
    </row>
    <row r="113" spans="1:7" ht="15" customHeight="1">
      <c r="A113" s="371" t="s">
        <v>486</v>
      </c>
      <c r="B113" s="372">
        <v>4178</v>
      </c>
      <c r="C113" s="373" t="s">
        <v>494</v>
      </c>
      <c r="D113" s="374">
        <v>734570</v>
      </c>
      <c r="E113" s="375">
        <v>0</v>
      </c>
      <c r="F113" s="374">
        <v>8500</v>
      </c>
      <c r="G113" s="375">
        <f t="shared" si="1"/>
        <v>726070</v>
      </c>
    </row>
    <row r="114" spans="1:7" ht="15" customHeight="1">
      <c r="A114" s="371" t="s">
        <v>486</v>
      </c>
      <c r="B114" s="372">
        <v>4179</v>
      </c>
      <c r="C114" s="373" t="s">
        <v>494</v>
      </c>
      <c r="D114" s="374">
        <v>129630</v>
      </c>
      <c r="E114" s="375">
        <v>0</v>
      </c>
      <c r="F114" s="374">
        <v>1500</v>
      </c>
      <c r="G114" s="375">
        <f t="shared" si="1"/>
        <v>128130</v>
      </c>
    </row>
    <row r="115" spans="1:7" ht="15" customHeight="1">
      <c r="A115" s="371" t="s">
        <v>486</v>
      </c>
      <c r="B115" s="372">
        <v>4308</v>
      </c>
      <c r="C115" s="373" t="s">
        <v>488</v>
      </c>
      <c r="D115" s="374">
        <v>3590076</v>
      </c>
      <c r="E115" s="375">
        <v>0</v>
      </c>
      <c r="F115" s="374">
        <v>237556</v>
      </c>
      <c r="G115" s="375">
        <f t="shared" si="1"/>
        <v>3352520</v>
      </c>
    </row>
    <row r="116" spans="1:7" ht="15" customHeight="1">
      <c r="A116" s="371" t="s">
        <v>486</v>
      </c>
      <c r="B116" s="372">
        <v>4309</v>
      </c>
      <c r="C116" s="373" t="s">
        <v>488</v>
      </c>
      <c r="D116" s="374">
        <v>633543</v>
      </c>
      <c r="E116" s="375">
        <v>0</v>
      </c>
      <c r="F116" s="374">
        <v>41923</v>
      </c>
      <c r="G116" s="375">
        <f t="shared" si="1"/>
        <v>591620</v>
      </c>
    </row>
    <row r="117" spans="1:7" ht="15" customHeight="1">
      <c r="A117" s="371" t="s">
        <v>486</v>
      </c>
      <c r="B117" s="372">
        <v>4388</v>
      </c>
      <c r="C117" s="373" t="s">
        <v>537</v>
      </c>
      <c r="D117" s="374">
        <v>4675</v>
      </c>
      <c r="E117" s="375">
        <v>0</v>
      </c>
      <c r="F117" s="374">
        <v>1700</v>
      </c>
      <c r="G117" s="375">
        <f t="shared" si="1"/>
        <v>2975</v>
      </c>
    </row>
    <row r="118" spans="1:7" ht="15" customHeight="1">
      <c r="A118" s="371" t="s">
        <v>486</v>
      </c>
      <c r="B118" s="372">
        <v>4389</v>
      </c>
      <c r="C118" s="373" t="s">
        <v>537</v>
      </c>
      <c r="D118" s="374">
        <v>825</v>
      </c>
      <c r="E118" s="375">
        <v>0</v>
      </c>
      <c r="F118" s="374">
        <v>300</v>
      </c>
      <c r="G118" s="375">
        <f t="shared" si="1"/>
        <v>525</v>
      </c>
    </row>
    <row r="119" spans="1:7" ht="28.9" customHeight="1">
      <c r="A119" s="371" t="s">
        <v>486</v>
      </c>
      <c r="B119" s="372">
        <v>4398</v>
      </c>
      <c r="C119" s="373" t="s">
        <v>514</v>
      </c>
      <c r="D119" s="374">
        <v>769250</v>
      </c>
      <c r="E119" s="375">
        <v>0</v>
      </c>
      <c r="F119" s="374">
        <v>241433</v>
      </c>
      <c r="G119" s="375">
        <f t="shared" si="1"/>
        <v>527817</v>
      </c>
    </row>
    <row r="120" spans="1:7" ht="28.9" customHeight="1">
      <c r="A120" s="371" t="s">
        <v>486</v>
      </c>
      <c r="B120" s="372">
        <v>4399</v>
      </c>
      <c r="C120" s="373" t="s">
        <v>514</v>
      </c>
      <c r="D120" s="374">
        <v>135750</v>
      </c>
      <c r="E120" s="375">
        <v>0</v>
      </c>
      <c r="F120" s="374">
        <v>42605</v>
      </c>
      <c r="G120" s="375">
        <f t="shared" si="1"/>
        <v>93145</v>
      </c>
    </row>
    <row r="121" spans="1:7" ht="28.9" customHeight="1">
      <c r="A121" s="371" t="s">
        <v>486</v>
      </c>
      <c r="B121" s="372">
        <v>4708</v>
      </c>
      <c r="C121" s="373" t="s">
        <v>504</v>
      </c>
      <c r="D121" s="374">
        <v>119000</v>
      </c>
      <c r="E121" s="375">
        <v>0</v>
      </c>
      <c r="F121" s="374">
        <v>71995</v>
      </c>
      <c r="G121" s="375">
        <f t="shared" si="1"/>
        <v>47005</v>
      </c>
    </row>
    <row r="122" spans="1:7" ht="28.9" customHeight="1">
      <c r="A122" s="371" t="s">
        <v>486</v>
      </c>
      <c r="B122" s="372">
        <v>4709</v>
      </c>
      <c r="C122" s="373" t="s">
        <v>504</v>
      </c>
      <c r="D122" s="374">
        <v>21000</v>
      </c>
      <c r="E122" s="375">
        <v>0</v>
      </c>
      <c r="F122" s="374">
        <v>12705</v>
      </c>
      <c r="G122" s="375">
        <f t="shared" si="1"/>
        <v>8295</v>
      </c>
    </row>
    <row r="123" spans="1:7" ht="15" customHeight="1">
      <c r="A123" s="371" t="s">
        <v>486</v>
      </c>
      <c r="B123" s="372">
        <v>6050</v>
      </c>
      <c r="C123" s="373" t="s">
        <v>509</v>
      </c>
      <c r="D123" s="374">
        <v>734675</v>
      </c>
      <c r="E123" s="375">
        <v>0</v>
      </c>
      <c r="F123" s="374">
        <v>150000</v>
      </c>
      <c r="G123" s="375">
        <f t="shared" si="1"/>
        <v>584675</v>
      </c>
    </row>
    <row r="124" spans="1:7" ht="15" customHeight="1">
      <c r="A124" s="371" t="s">
        <v>486</v>
      </c>
      <c r="B124" s="372">
        <v>6060</v>
      </c>
      <c r="C124" s="373" t="s">
        <v>510</v>
      </c>
      <c r="D124" s="374">
        <v>436100</v>
      </c>
      <c r="E124" s="375">
        <v>20200</v>
      </c>
      <c r="F124" s="374">
        <v>0</v>
      </c>
      <c r="G124" s="375">
        <f t="shared" si="1"/>
        <v>456300</v>
      </c>
    </row>
    <row r="125" spans="1:7" s="387" customFormat="1" ht="15" customHeight="1">
      <c r="A125" s="381">
        <v>75095</v>
      </c>
      <c r="B125" s="382" t="s">
        <v>486</v>
      </c>
      <c r="C125" s="383" t="s">
        <v>37</v>
      </c>
      <c r="D125" s="384">
        <v>3932220</v>
      </c>
      <c r="E125" s="385">
        <f>SUM(E126:E132)</f>
        <v>0</v>
      </c>
      <c r="F125" s="385">
        <f>SUM(F126:F132)</f>
        <v>484902</v>
      </c>
      <c r="G125" s="385">
        <f t="shared" si="1"/>
        <v>3447318</v>
      </c>
    </row>
    <row r="126" spans="1:7" ht="56.45" customHeight="1">
      <c r="A126" s="371" t="s">
        <v>486</v>
      </c>
      <c r="B126" s="372">
        <v>2360</v>
      </c>
      <c r="C126" s="373" t="s">
        <v>515</v>
      </c>
      <c r="D126" s="374">
        <v>135000</v>
      </c>
      <c r="E126" s="375">
        <v>0</v>
      </c>
      <c r="F126" s="374">
        <v>33000</v>
      </c>
      <c r="G126" s="375">
        <f t="shared" si="1"/>
        <v>102000</v>
      </c>
    </row>
    <row r="127" spans="1:7" ht="15" customHeight="1">
      <c r="A127" s="371" t="s">
        <v>486</v>
      </c>
      <c r="B127" s="372">
        <v>3030</v>
      </c>
      <c r="C127" s="373" t="s">
        <v>513</v>
      </c>
      <c r="D127" s="374">
        <v>7000</v>
      </c>
      <c r="E127" s="375">
        <v>0</v>
      </c>
      <c r="F127" s="374">
        <v>6238</v>
      </c>
      <c r="G127" s="375">
        <f t="shared" si="1"/>
        <v>762</v>
      </c>
    </row>
    <row r="128" spans="1:7" ht="28.9" customHeight="1">
      <c r="A128" s="371" t="s">
        <v>486</v>
      </c>
      <c r="B128" s="372">
        <v>3040</v>
      </c>
      <c r="C128" s="373" t="s">
        <v>516</v>
      </c>
      <c r="D128" s="374">
        <v>150000</v>
      </c>
      <c r="E128" s="375">
        <v>0</v>
      </c>
      <c r="F128" s="374">
        <v>149500</v>
      </c>
      <c r="G128" s="375">
        <f t="shared" si="1"/>
        <v>500</v>
      </c>
    </row>
    <row r="129" spans="1:7" ht="15" customHeight="1">
      <c r="A129" s="371" t="s">
        <v>486</v>
      </c>
      <c r="B129" s="372">
        <v>4210</v>
      </c>
      <c r="C129" s="373" t="s">
        <v>495</v>
      </c>
      <c r="D129" s="374">
        <v>167300</v>
      </c>
      <c r="E129" s="375">
        <v>0</v>
      </c>
      <c r="F129" s="374">
        <v>2551</v>
      </c>
      <c r="G129" s="375">
        <f t="shared" si="1"/>
        <v>164749</v>
      </c>
    </row>
    <row r="130" spans="1:7" ht="15" customHeight="1">
      <c r="A130" s="371" t="s">
        <v>486</v>
      </c>
      <c r="B130" s="372">
        <v>4220</v>
      </c>
      <c r="C130" s="373" t="s">
        <v>496</v>
      </c>
      <c r="D130" s="374">
        <v>88000</v>
      </c>
      <c r="E130" s="375">
        <v>0</v>
      </c>
      <c r="F130" s="374">
        <v>12002</v>
      </c>
      <c r="G130" s="375">
        <f t="shared" si="1"/>
        <v>75998</v>
      </c>
    </row>
    <row r="131" spans="1:7" ht="15" customHeight="1">
      <c r="A131" s="371" t="s">
        <v>486</v>
      </c>
      <c r="B131" s="372">
        <v>4300</v>
      </c>
      <c r="C131" s="373" t="s">
        <v>488</v>
      </c>
      <c r="D131" s="374">
        <v>1182752</v>
      </c>
      <c r="E131" s="375">
        <v>0</v>
      </c>
      <c r="F131" s="374">
        <v>278911</v>
      </c>
      <c r="G131" s="375">
        <f t="shared" si="1"/>
        <v>903841</v>
      </c>
    </row>
    <row r="132" spans="1:7" ht="15" customHeight="1">
      <c r="A132" s="371" t="s">
        <v>486</v>
      </c>
      <c r="B132" s="372">
        <v>4380</v>
      </c>
      <c r="C132" s="373" t="s">
        <v>537</v>
      </c>
      <c r="D132" s="374">
        <v>10400</v>
      </c>
      <c r="E132" s="375">
        <v>0</v>
      </c>
      <c r="F132" s="374">
        <v>2700</v>
      </c>
      <c r="G132" s="375">
        <f t="shared" si="1"/>
        <v>7700</v>
      </c>
    </row>
    <row r="133" spans="1:7" s="387" customFormat="1" ht="28.9" customHeight="1">
      <c r="A133" s="388" t="s">
        <v>118</v>
      </c>
      <c r="B133" s="389" t="s">
        <v>486</v>
      </c>
      <c r="C133" s="390" t="s">
        <v>119</v>
      </c>
      <c r="D133" s="391">
        <v>1685000</v>
      </c>
      <c r="E133" s="392">
        <f>E134</f>
        <v>75000</v>
      </c>
      <c r="F133" s="392">
        <f>F134</f>
        <v>0</v>
      </c>
      <c r="G133" s="392">
        <f t="shared" si="1"/>
        <v>1760000</v>
      </c>
    </row>
    <row r="134" spans="1:7" s="387" customFormat="1" ht="15" customHeight="1">
      <c r="A134" s="381">
        <v>75495</v>
      </c>
      <c r="B134" s="382" t="s">
        <v>486</v>
      </c>
      <c r="C134" s="383" t="s">
        <v>37</v>
      </c>
      <c r="D134" s="384">
        <v>1685000</v>
      </c>
      <c r="E134" s="385">
        <f>E135</f>
        <v>75000</v>
      </c>
      <c r="F134" s="385">
        <f>F135</f>
        <v>0</v>
      </c>
      <c r="G134" s="385">
        <f t="shared" si="1"/>
        <v>1760000</v>
      </c>
    </row>
    <row r="135" spans="1:7" ht="15" customHeight="1">
      <c r="A135" s="371" t="s">
        <v>486</v>
      </c>
      <c r="B135" s="372">
        <v>4430</v>
      </c>
      <c r="C135" s="373" t="s">
        <v>503</v>
      </c>
      <c r="D135" s="374">
        <v>540000</v>
      </c>
      <c r="E135" s="375">
        <v>75000</v>
      </c>
      <c r="F135" s="374">
        <v>0</v>
      </c>
      <c r="G135" s="375">
        <f t="shared" si="1"/>
        <v>615000</v>
      </c>
    </row>
    <row r="136" spans="1:7" s="387" customFormat="1" ht="15" customHeight="1">
      <c r="A136" s="388" t="s">
        <v>121</v>
      </c>
      <c r="B136" s="389" t="s">
        <v>486</v>
      </c>
      <c r="C136" s="390" t="s">
        <v>122</v>
      </c>
      <c r="D136" s="391">
        <v>21896234</v>
      </c>
      <c r="E136" s="392">
        <f>E137+E139</f>
        <v>0</v>
      </c>
      <c r="F136" s="392">
        <f>F137+F139</f>
        <v>17360764</v>
      </c>
      <c r="G136" s="392">
        <f t="shared" si="1"/>
        <v>4535470</v>
      </c>
    </row>
    <row r="137" spans="1:7" s="387" customFormat="1" ht="55.15" customHeight="1">
      <c r="A137" s="381">
        <v>75702</v>
      </c>
      <c r="B137" s="382" t="s">
        <v>486</v>
      </c>
      <c r="C137" s="383" t="s">
        <v>517</v>
      </c>
      <c r="D137" s="384">
        <v>8116673</v>
      </c>
      <c r="E137" s="385">
        <f>E138</f>
        <v>0</v>
      </c>
      <c r="F137" s="385">
        <f>F138</f>
        <v>3701203</v>
      </c>
      <c r="G137" s="385">
        <f t="shared" si="1"/>
        <v>4415470</v>
      </c>
    </row>
    <row r="138" spans="1:7" ht="42" customHeight="1">
      <c r="A138" s="371" t="s">
        <v>486</v>
      </c>
      <c r="B138" s="372">
        <v>8110</v>
      </c>
      <c r="C138" s="373" t="s">
        <v>518</v>
      </c>
      <c r="D138" s="374">
        <v>8116673</v>
      </c>
      <c r="E138" s="375">
        <v>0</v>
      </c>
      <c r="F138" s="374">
        <v>3701203</v>
      </c>
      <c r="G138" s="375">
        <f t="shared" si="1"/>
        <v>4415470</v>
      </c>
    </row>
    <row r="139" spans="1:7" s="387" customFormat="1" ht="42" customHeight="1">
      <c r="A139" s="381">
        <v>75704</v>
      </c>
      <c r="B139" s="382" t="s">
        <v>486</v>
      </c>
      <c r="C139" s="383" t="s">
        <v>126</v>
      </c>
      <c r="D139" s="384">
        <v>13779561</v>
      </c>
      <c r="E139" s="385">
        <f>E140</f>
        <v>0</v>
      </c>
      <c r="F139" s="385">
        <f>F140</f>
        <v>13659561</v>
      </c>
      <c r="G139" s="385">
        <f t="shared" si="1"/>
        <v>120000</v>
      </c>
    </row>
    <row r="140" spans="1:7" ht="15" customHeight="1">
      <c r="A140" s="371" t="s">
        <v>486</v>
      </c>
      <c r="B140" s="372">
        <v>8020</v>
      </c>
      <c r="C140" s="373" t="s">
        <v>519</v>
      </c>
      <c r="D140" s="374">
        <v>13659561</v>
      </c>
      <c r="E140" s="375">
        <v>0</v>
      </c>
      <c r="F140" s="374">
        <v>13659561</v>
      </c>
      <c r="G140" s="375">
        <f t="shared" ref="G140:G203" si="2">D140+E140-F140</f>
        <v>0</v>
      </c>
    </row>
    <row r="141" spans="1:7" s="387" customFormat="1" ht="15" customHeight="1">
      <c r="A141" s="388" t="s">
        <v>131</v>
      </c>
      <c r="B141" s="389" t="s">
        <v>486</v>
      </c>
      <c r="C141" s="390" t="s">
        <v>132</v>
      </c>
      <c r="D141" s="391">
        <v>74974847.010000005</v>
      </c>
      <c r="E141" s="392">
        <f>E142+E149+E154+E160+E166+E172+E177+E185+E191+E196+E198</f>
        <v>295283</v>
      </c>
      <c r="F141" s="392">
        <f>F142+F149+F154+F160+F166+F172+F177+F185+F191+F196+F198</f>
        <v>6029242</v>
      </c>
      <c r="G141" s="392">
        <f t="shared" si="2"/>
        <v>69240888.010000005</v>
      </c>
    </row>
    <row r="142" spans="1:7" s="387" customFormat="1" ht="15" customHeight="1">
      <c r="A142" s="381">
        <v>80102</v>
      </c>
      <c r="B142" s="382" t="s">
        <v>486</v>
      </c>
      <c r="C142" s="383" t="s">
        <v>134</v>
      </c>
      <c r="D142" s="384">
        <v>21334056</v>
      </c>
      <c r="E142" s="385">
        <f>SUM(E143:E148)</f>
        <v>89000</v>
      </c>
      <c r="F142" s="385">
        <f>SUM(F143:F148)</f>
        <v>1592971</v>
      </c>
      <c r="G142" s="385">
        <f t="shared" si="2"/>
        <v>19830085</v>
      </c>
    </row>
    <row r="143" spans="1:7" ht="15" customHeight="1">
      <c r="A143" s="371" t="s">
        <v>486</v>
      </c>
      <c r="B143" s="372">
        <v>3020</v>
      </c>
      <c r="C143" s="373" t="s">
        <v>520</v>
      </c>
      <c r="D143" s="374">
        <v>80686</v>
      </c>
      <c r="E143" s="375">
        <v>89000</v>
      </c>
      <c r="F143" s="374">
        <v>0</v>
      </c>
      <c r="G143" s="375">
        <f t="shared" si="2"/>
        <v>169686</v>
      </c>
    </row>
    <row r="144" spans="1:7" ht="15" customHeight="1">
      <c r="A144" s="371" t="s">
        <v>486</v>
      </c>
      <c r="B144" s="372">
        <v>4010</v>
      </c>
      <c r="C144" s="373" t="s">
        <v>490</v>
      </c>
      <c r="D144" s="374">
        <v>15564912</v>
      </c>
      <c r="E144" s="375">
        <v>0</v>
      </c>
      <c r="F144" s="374">
        <v>1275583</v>
      </c>
      <c r="G144" s="375">
        <f t="shared" si="2"/>
        <v>14289329</v>
      </c>
    </row>
    <row r="145" spans="1:7" ht="15" customHeight="1">
      <c r="A145" s="371" t="s">
        <v>486</v>
      </c>
      <c r="B145" s="372">
        <v>4040</v>
      </c>
      <c r="C145" s="373" t="s">
        <v>491</v>
      </c>
      <c r="D145" s="374">
        <v>1046077</v>
      </c>
      <c r="E145" s="375">
        <v>0</v>
      </c>
      <c r="F145" s="374">
        <v>9400</v>
      </c>
      <c r="G145" s="375">
        <f t="shared" si="2"/>
        <v>1036677</v>
      </c>
    </row>
    <row r="146" spans="1:7" ht="15" customHeight="1">
      <c r="A146" s="371" t="s">
        <v>486</v>
      </c>
      <c r="B146" s="372">
        <v>4110</v>
      </c>
      <c r="C146" s="373" t="s">
        <v>492</v>
      </c>
      <c r="D146" s="374">
        <v>2789635</v>
      </c>
      <c r="E146" s="375">
        <v>0</v>
      </c>
      <c r="F146" s="374">
        <v>241938</v>
      </c>
      <c r="G146" s="375">
        <f t="shared" si="2"/>
        <v>2547697</v>
      </c>
    </row>
    <row r="147" spans="1:7" ht="15" customHeight="1">
      <c r="A147" s="371" t="s">
        <v>486</v>
      </c>
      <c r="B147" s="372">
        <v>4120</v>
      </c>
      <c r="C147" s="373" t="s">
        <v>493</v>
      </c>
      <c r="D147" s="374">
        <v>347262</v>
      </c>
      <c r="E147" s="375">
        <v>0</v>
      </c>
      <c r="F147" s="374">
        <v>63691</v>
      </c>
      <c r="G147" s="375">
        <f t="shared" si="2"/>
        <v>283571</v>
      </c>
    </row>
    <row r="148" spans="1:7" ht="15" customHeight="1">
      <c r="A148" s="371" t="s">
        <v>486</v>
      </c>
      <c r="B148" s="372">
        <v>4170</v>
      </c>
      <c r="C148" s="373" t="s">
        <v>494</v>
      </c>
      <c r="D148" s="374">
        <v>21800</v>
      </c>
      <c r="E148" s="375">
        <v>0</v>
      </c>
      <c r="F148" s="374">
        <v>2359</v>
      </c>
      <c r="G148" s="375">
        <f t="shared" si="2"/>
        <v>19441</v>
      </c>
    </row>
    <row r="149" spans="1:7" s="387" customFormat="1" ht="15" customHeight="1">
      <c r="A149" s="381">
        <v>80105</v>
      </c>
      <c r="B149" s="382" t="s">
        <v>486</v>
      </c>
      <c r="C149" s="383" t="s">
        <v>137</v>
      </c>
      <c r="D149" s="384">
        <v>327803</v>
      </c>
      <c r="E149" s="385">
        <f>SUM(E150:E153)</f>
        <v>0</v>
      </c>
      <c r="F149" s="385">
        <f>SUM(F150:F153)</f>
        <v>18148</v>
      </c>
      <c r="G149" s="385">
        <f t="shared" si="2"/>
        <v>309655</v>
      </c>
    </row>
    <row r="150" spans="1:7" ht="15" customHeight="1">
      <c r="A150" s="371" t="s">
        <v>486</v>
      </c>
      <c r="B150" s="372">
        <v>4010</v>
      </c>
      <c r="C150" s="373" t="s">
        <v>490</v>
      </c>
      <c r="D150" s="374">
        <v>245836</v>
      </c>
      <c r="E150" s="375">
        <v>0</v>
      </c>
      <c r="F150" s="374">
        <v>13569</v>
      </c>
      <c r="G150" s="375">
        <f t="shared" si="2"/>
        <v>232267</v>
      </c>
    </row>
    <row r="151" spans="1:7" ht="15" customHeight="1">
      <c r="A151" s="371" t="s">
        <v>486</v>
      </c>
      <c r="B151" s="372">
        <v>4040</v>
      </c>
      <c r="C151" s="373" t="s">
        <v>491</v>
      </c>
      <c r="D151" s="374">
        <v>18074</v>
      </c>
      <c r="E151" s="375">
        <v>0</v>
      </c>
      <c r="F151" s="374">
        <v>499</v>
      </c>
      <c r="G151" s="375">
        <f t="shared" si="2"/>
        <v>17575</v>
      </c>
    </row>
    <row r="152" spans="1:7" ht="15" customHeight="1">
      <c r="A152" s="371" t="s">
        <v>486</v>
      </c>
      <c r="B152" s="372">
        <v>4110</v>
      </c>
      <c r="C152" s="373" t="s">
        <v>492</v>
      </c>
      <c r="D152" s="374">
        <v>43779</v>
      </c>
      <c r="E152" s="375">
        <v>0</v>
      </c>
      <c r="F152" s="374">
        <v>3409</v>
      </c>
      <c r="G152" s="375">
        <f t="shared" si="2"/>
        <v>40370</v>
      </c>
    </row>
    <row r="153" spans="1:7" ht="15" customHeight="1">
      <c r="A153" s="371" t="s">
        <v>486</v>
      </c>
      <c r="B153" s="372">
        <v>4120</v>
      </c>
      <c r="C153" s="373" t="s">
        <v>493</v>
      </c>
      <c r="D153" s="374">
        <v>4421</v>
      </c>
      <c r="E153" s="375">
        <v>0</v>
      </c>
      <c r="F153" s="374">
        <v>671</v>
      </c>
      <c r="G153" s="375">
        <f t="shared" si="2"/>
        <v>3750</v>
      </c>
    </row>
    <row r="154" spans="1:7" s="387" customFormat="1" ht="15" customHeight="1">
      <c r="A154" s="381">
        <v>80116</v>
      </c>
      <c r="B154" s="382" t="s">
        <v>486</v>
      </c>
      <c r="C154" s="383" t="s">
        <v>141</v>
      </c>
      <c r="D154" s="384">
        <v>5824372</v>
      </c>
      <c r="E154" s="385">
        <f>SUM(E155:E159)</f>
        <v>29500</v>
      </c>
      <c r="F154" s="385">
        <f>SUM(F155:F159)</f>
        <v>410902</v>
      </c>
      <c r="G154" s="385">
        <f t="shared" si="2"/>
        <v>5442970</v>
      </c>
    </row>
    <row r="155" spans="1:7" ht="15" customHeight="1">
      <c r="A155" s="371" t="s">
        <v>486</v>
      </c>
      <c r="B155" s="372">
        <v>3020</v>
      </c>
      <c r="C155" s="373" t="s">
        <v>520</v>
      </c>
      <c r="D155" s="374">
        <v>9800</v>
      </c>
      <c r="E155" s="375">
        <v>29500</v>
      </c>
      <c r="F155" s="374">
        <v>0</v>
      </c>
      <c r="G155" s="375">
        <f t="shared" si="2"/>
        <v>39300</v>
      </c>
    </row>
    <row r="156" spans="1:7" ht="15" customHeight="1">
      <c r="A156" s="371" t="s">
        <v>486</v>
      </c>
      <c r="B156" s="372">
        <v>4010</v>
      </c>
      <c r="C156" s="373" t="s">
        <v>490</v>
      </c>
      <c r="D156" s="374">
        <v>3922123</v>
      </c>
      <c r="E156" s="375">
        <v>0</v>
      </c>
      <c r="F156" s="374">
        <v>355545</v>
      </c>
      <c r="G156" s="375">
        <f t="shared" si="2"/>
        <v>3566578</v>
      </c>
    </row>
    <row r="157" spans="1:7" ht="15" customHeight="1">
      <c r="A157" s="371" t="s">
        <v>486</v>
      </c>
      <c r="B157" s="372">
        <v>4040</v>
      </c>
      <c r="C157" s="373" t="s">
        <v>491</v>
      </c>
      <c r="D157" s="374">
        <v>261849</v>
      </c>
      <c r="E157" s="375">
        <v>0</v>
      </c>
      <c r="F157" s="374">
        <v>8239</v>
      </c>
      <c r="G157" s="375">
        <f t="shared" si="2"/>
        <v>253610</v>
      </c>
    </row>
    <row r="158" spans="1:7" ht="15" customHeight="1">
      <c r="A158" s="371" t="s">
        <v>486</v>
      </c>
      <c r="B158" s="372">
        <v>4110</v>
      </c>
      <c r="C158" s="373" t="s">
        <v>492</v>
      </c>
      <c r="D158" s="374">
        <v>687670</v>
      </c>
      <c r="E158" s="375">
        <v>0</v>
      </c>
      <c r="F158" s="374">
        <v>41179</v>
      </c>
      <c r="G158" s="375">
        <f t="shared" si="2"/>
        <v>646491</v>
      </c>
    </row>
    <row r="159" spans="1:7" ht="15" customHeight="1">
      <c r="A159" s="376" t="s">
        <v>486</v>
      </c>
      <c r="B159" s="377">
        <v>4120</v>
      </c>
      <c r="C159" s="378" t="s">
        <v>493</v>
      </c>
      <c r="D159" s="379">
        <v>74855</v>
      </c>
      <c r="E159" s="380">
        <v>0</v>
      </c>
      <c r="F159" s="379">
        <v>5939</v>
      </c>
      <c r="G159" s="380">
        <f t="shared" si="2"/>
        <v>68916</v>
      </c>
    </row>
    <row r="160" spans="1:7" s="387" customFormat="1" ht="15" customHeight="1">
      <c r="A160" s="393">
        <v>80121</v>
      </c>
      <c r="B160" s="394" t="s">
        <v>486</v>
      </c>
      <c r="C160" s="395" t="s">
        <v>143</v>
      </c>
      <c r="D160" s="396">
        <v>3137437</v>
      </c>
      <c r="E160" s="386">
        <f>SUM(E161:E165)</f>
        <v>9000</v>
      </c>
      <c r="F160" s="386">
        <f>SUM(F161:F165)</f>
        <v>363062</v>
      </c>
      <c r="G160" s="386">
        <f t="shared" si="2"/>
        <v>2783375</v>
      </c>
    </row>
    <row r="161" spans="1:7" ht="15" customHeight="1">
      <c r="A161" s="371" t="s">
        <v>486</v>
      </c>
      <c r="B161" s="372">
        <v>3020</v>
      </c>
      <c r="C161" s="373" t="s">
        <v>520</v>
      </c>
      <c r="D161" s="374">
        <v>6300</v>
      </c>
      <c r="E161" s="375">
        <v>9000</v>
      </c>
      <c r="F161" s="374">
        <v>0</v>
      </c>
      <c r="G161" s="375">
        <f t="shared" si="2"/>
        <v>15300</v>
      </c>
    </row>
    <row r="162" spans="1:7" ht="15" customHeight="1">
      <c r="A162" s="371" t="s">
        <v>486</v>
      </c>
      <c r="B162" s="372">
        <v>4010</v>
      </c>
      <c r="C162" s="373" t="s">
        <v>490</v>
      </c>
      <c r="D162" s="374">
        <v>2294319</v>
      </c>
      <c r="E162" s="375">
        <v>0</v>
      </c>
      <c r="F162" s="374">
        <v>289704</v>
      </c>
      <c r="G162" s="375">
        <f t="shared" si="2"/>
        <v>2004615</v>
      </c>
    </row>
    <row r="163" spans="1:7" ht="15" customHeight="1">
      <c r="A163" s="371" t="s">
        <v>486</v>
      </c>
      <c r="B163" s="372">
        <v>4040</v>
      </c>
      <c r="C163" s="373" t="s">
        <v>491</v>
      </c>
      <c r="D163" s="374">
        <v>145009</v>
      </c>
      <c r="E163" s="375">
        <v>0</v>
      </c>
      <c r="F163" s="374">
        <v>4962</v>
      </c>
      <c r="G163" s="375">
        <f t="shared" si="2"/>
        <v>140047</v>
      </c>
    </row>
    <row r="164" spans="1:7" ht="15" customHeight="1">
      <c r="A164" s="371" t="s">
        <v>486</v>
      </c>
      <c r="B164" s="372">
        <v>4110</v>
      </c>
      <c r="C164" s="373" t="s">
        <v>492</v>
      </c>
      <c r="D164" s="374">
        <v>419602</v>
      </c>
      <c r="E164" s="375">
        <v>0</v>
      </c>
      <c r="F164" s="374">
        <v>58395</v>
      </c>
      <c r="G164" s="375">
        <f t="shared" si="2"/>
        <v>361207</v>
      </c>
    </row>
    <row r="165" spans="1:7" ht="15" customHeight="1">
      <c r="A165" s="371" t="s">
        <v>486</v>
      </c>
      <c r="B165" s="372">
        <v>4120</v>
      </c>
      <c r="C165" s="373" t="s">
        <v>493</v>
      </c>
      <c r="D165" s="374">
        <v>55790</v>
      </c>
      <c r="E165" s="375">
        <v>0</v>
      </c>
      <c r="F165" s="374">
        <v>10001</v>
      </c>
      <c r="G165" s="375">
        <f t="shared" si="2"/>
        <v>45789</v>
      </c>
    </row>
    <row r="166" spans="1:7" s="387" customFormat="1" ht="15" customHeight="1">
      <c r="A166" s="381">
        <v>80134</v>
      </c>
      <c r="B166" s="382" t="s">
        <v>486</v>
      </c>
      <c r="C166" s="383" t="s">
        <v>145</v>
      </c>
      <c r="D166" s="384">
        <v>14183991</v>
      </c>
      <c r="E166" s="385">
        <f>SUM(E167:E171)</f>
        <v>54000</v>
      </c>
      <c r="F166" s="385">
        <f>SUM(F167:F171)</f>
        <v>989318</v>
      </c>
      <c r="G166" s="385">
        <f t="shared" si="2"/>
        <v>13248673</v>
      </c>
    </row>
    <row r="167" spans="1:7" ht="15" customHeight="1">
      <c r="A167" s="371" t="s">
        <v>486</v>
      </c>
      <c r="B167" s="372">
        <v>3020</v>
      </c>
      <c r="C167" s="373" t="s">
        <v>520</v>
      </c>
      <c r="D167" s="374">
        <v>69622</v>
      </c>
      <c r="E167" s="375">
        <v>54000</v>
      </c>
      <c r="F167" s="374">
        <v>0</v>
      </c>
      <c r="G167" s="375">
        <f t="shared" si="2"/>
        <v>123622</v>
      </c>
    </row>
    <row r="168" spans="1:7" ht="15" customHeight="1">
      <c r="A168" s="371" t="s">
        <v>486</v>
      </c>
      <c r="B168" s="372">
        <v>4010</v>
      </c>
      <c r="C168" s="373" t="s">
        <v>490</v>
      </c>
      <c r="D168" s="374">
        <v>10057468</v>
      </c>
      <c r="E168" s="375">
        <v>0</v>
      </c>
      <c r="F168" s="374">
        <v>759377</v>
      </c>
      <c r="G168" s="375">
        <f t="shared" si="2"/>
        <v>9298091</v>
      </c>
    </row>
    <row r="169" spans="1:7" ht="15" customHeight="1">
      <c r="A169" s="371" t="s">
        <v>486</v>
      </c>
      <c r="B169" s="372">
        <v>4040</v>
      </c>
      <c r="C169" s="373" t="s">
        <v>491</v>
      </c>
      <c r="D169" s="374">
        <v>714906</v>
      </c>
      <c r="E169" s="375">
        <v>0</v>
      </c>
      <c r="F169" s="374">
        <v>44541</v>
      </c>
      <c r="G169" s="375">
        <f t="shared" si="2"/>
        <v>670365</v>
      </c>
    </row>
    <row r="170" spans="1:7" ht="15" customHeight="1">
      <c r="A170" s="371" t="s">
        <v>486</v>
      </c>
      <c r="B170" s="372">
        <v>4110</v>
      </c>
      <c r="C170" s="373" t="s">
        <v>492</v>
      </c>
      <c r="D170" s="374">
        <v>1836506</v>
      </c>
      <c r="E170" s="375">
        <v>0</v>
      </c>
      <c r="F170" s="374">
        <v>142136</v>
      </c>
      <c r="G170" s="375">
        <f t="shared" si="2"/>
        <v>1694370</v>
      </c>
    </row>
    <row r="171" spans="1:7" ht="15" customHeight="1">
      <c r="A171" s="371" t="s">
        <v>486</v>
      </c>
      <c r="B171" s="372">
        <v>4120</v>
      </c>
      <c r="C171" s="373" t="s">
        <v>493</v>
      </c>
      <c r="D171" s="374">
        <v>231351</v>
      </c>
      <c r="E171" s="375">
        <v>0</v>
      </c>
      <c r="F171" s="374">
        <v>43264</v>
      </c>
      <c r="G171" s="375">
        <f t="shared" si="2"/>
        <v>188087</v>
      </c>
    </row>
    <row r="172" spans="1:7" s="387" customFormat="1" ht="28.9" customHeight="1">
      <c r="A172" s="381">
        <v>80140</v>
      </c>
      <c r="B172" s="382" t="s">
        <v>486</v>
      </c>
      <c r="C172" s="383" t="s">
        <v>147</v>
      </c>
      <c r="D172" s="384">
        <v>2955533</v>
      </c>
      <c r="E172" s="385">
        <f>SUM(E173:E176)</f>
        <v>9000</v>
      </c>
      <c r="F172" s="385">
        <f>SUM(F173:F176)</f>
        <v>270136</v>
      </c>
      <c r="G172" s="385">
        <f t="shared" si="2"/>
        <v>2694397</v>
      </c>
    </row>
    <row r="173" spans="1:7" ht="15" customHeight="1">
      <c r="A173" s="371" t="s">
        <v>486</v>
      </c>
      <c r="B173" s="372">
        <v>3020</v>
      </c>
      <c r="C173" s="373" t="s">
        <v>520</v>
      </c>
      <c r="D173" s="374">
        <v>2000</v>
      </c>
      <c r="E173" s="375">
        <v>9000</v>
      </c>
      <c r="F173" s="374">
        <v>0</v>
      </c>
      <c r="G173" s="375">
        <f t="shared" si="2"/>
        <v>11000</v>
      </c>
    </row>
    <row r="174" spans="1:7" ht="15" customHeight="1">
      <c r="A174" s="371" t="s">
        <v>486</v>
      </c>
      <c r="B174" s="372">
        <v>4010</v>
      </c>
      <c r="C174" s="373" t="s">
        <v>490</v>
      </c>
      <c r="D174" s="374">
        <v>1784655</v>
      </c>
      <c r="E174" s="375">
        <v>0</v>
      </c>
      <c r="F174" s="374">
        <v>196214</v>
      </c>
      <c r="G174" s="375">
        <f t="shared" si="2"/>
        <v>1588441</v>
      </c>
    </row>
    <row r="175" spans="1:7" ht="15" customHeight="1">
      <c r="A175" s="371" t="s">
        <v>486</v>
      </c>
      <c r="B175" s="372">
        <v>4040</v>
      </c>
      <c r="C175" s="373" t="s">
        <v>491</v>
      </c>
      <c r="D175" s="374">
        <v>130004</v>
      </c>
      <c r="E175" s="375">
        <v>0</v>
      </c>
      <c r="F175" s="374">
        <v>20143</v>
      </c>
      <c r="G175" s="375">
        <f t="shared" si="2"/>
        <v>109861</v>
      </c>
    </row>
    <row r="176" spans="1:7" ht="15" customHeight="1">
      <c r="A176" s="371" t="s">
        <v>486</v>
      </c>
      <c r="B176" s="372">
        <v>4110</v>
      </c>
      <c r="C176" s="373" t="s">
        <v>492</v>
      </c>
      <c r="D176" s="374">
        <v>318510</v>
      </c>
      <c r="E176" s="375">
        <v>0</v>
      </c>
      <c r="F176" s="374">
        <v>53779</v>
      </c>
      <c r="G176" s="375">
        <f t="shared" si="2"/>
        <v>264731</v>
      </c>
    </row>
    <row r="177" spans="1:7" s="387" customFormat="1" ht="15" customHeight="1">
      <c r="A177" s="381">
        <v>80146</v>
      </c>
      <c r="B177" s="382" t="s">
        <v>486</v>
      </c>
      <c r="C177" s="383" t="s">
        <v>149</v>
      </c>
      <c r="D177" s="384">
        <v>8370613</v>
      </c>
      <c r="E177" s="385">
        <f>SUM(E178:E184)</f>
        <v>75498</v>
      </c>
      <c r="F177" s="385">
        <f>SUM(F178:F184)</f>
        <v>379705</v>
      </c>
      <c r="G177" s="385">
        <f t="shared" si="2"/>
        <v>8066406</v>
      </c>
    </row>
    <row r="178" spans="1:7" ht="15" customHeight="1">
      <c r="A178" s="371" t="s">
        <v>486</v>
      </c>
      <c r="B178" s="372">
        <v>3020</v>
      </c>
      <c r="C178" s="373" t="s">
        <v>520</v>
      </c>
      <c r="D178" s="374">
        <v>7322</v>
      </c>
      <c r="E178" s="375">
        <v>23000</v>
      </c>
      <c r="F178" s="374">
        <v>0</v>
      </c>
      <c r="G178" s="375">
        <f t="shared" si="2"/>
        <v>30322</v>
      </c>
    </row>
    <row r="179" spans="1:7" ht="15" customHeight="1">
      <c r="A179" s="371" t="s">
        <v>486</v>
      </c>
      <c r="B179" s="372">
        <v>4010</v>
      </c>
      <c r="C179" s="373" t="s">
        <v>490</v>
      </c>
      <c r="D179" s="374">
        <v>5783450.9000000004</v>
      </c>
      <c r="E179" s="375">
        <v>0</v>
      </c>
      <c r="F179" s="374">
        <v>249548</v>
      </c>
      <c r="G179" s="375">
        <f t="shared" si="2"/>
        <v>5533902.9000000004</v>
      </c>
    </row>
    <row r="180" spans="1:7" ht="15" customHeight="1">
      <c r="A180" s="371" t="s">
        <v>486</v>
      </c>
      <c r="B180" s="372">
        <v>4040</v>
      </c>
      <c r="C180" s="373" t="s">
        <v>491</v>
      </c>
      <c r="D180" s="374">
        <v>384230</v>
      </c>
      <c r="E180" s="375">
        <v>0</v>
      </c>
      <c r="F180" s="374">
        <v>17704</v>
      </c>
      <c r="G180" s="375">
        <f t="shared" si="2"/>
        <v>366526</v>
      </c>
    </row>
    <row r="181" spans="1:7" ht="15" customHeight="1">
      <c r="A181" s="371" t="s">
        <v>486</v>
      </c>
      <c r="B181" s="372">
        <v>4110</v>
      </c>
      <c r="C181" s="373" t="s">
        <v>492</v>
      </c>
      <c r="D181" s="374">
        <v>1037933.86</v>
      </c>
      <c r="E181" s="375">
        <v>0</v>
      </c>
      <c r="F181" s="374">
        <v>58790</v>
      </c>
      <c r="G181" s="375">
        <f t="shared" si="2"/>
        <v>979143.86</v>
      </c>
    </row>
    <row r="182" spans="1:7" ht="15" customHeight="1">
      <c r="A182" s="371" t="s">
        <v>486</v>
      </c>
      <c r="B182" s="372">
        <v>4120</v>
      </c>
      <c r="C182" s="373" t="s">
        <v>493</v>
      </c>
      <c r="D182" s="374">
        <v>98984.27</v>
      </c>
      <c r="E182" s="375">
        <v>0</v>
      </c>
      <c r="F182" s="374">
        <v>23263</v>
      </c>
      <c r="G182" s="375">
        <f t="shared" si="2"/>
        <v>75721.27</v>
      </c>
    </row>
    <row r="183" spans="1:7" ht="15" customHeight="1">
      <c r="A183" s="371" t="s">
        <v>486</v>
      </c>
      <c r="B183" s="372">
        <v>4300</v>
      </c>
      <c r="C183" s="373" t="s">
        <v>488</v>
      </c>
      <c r="D183" s="374">
        <v>230098</v>
      </c>
      <c r="E183" s="375">
        <v>52498</v>
      </c>
      <c r="F183" s="374">
        <v>0</v>
      </c>
      <c r="G183" s="375">
        <f t="shared" si="2"/>
        <v>282596</v>
      </c>
    </row>
    <row r="184" spans="1:7" ht="28.9" customHeight="1">
      <c r="A184" s="371" t="s">
        <v>486</v>
      </c>
      <c r="B184" s="372">
        <v>4700</v>
      </c>
      <c r="C184" s="373" t="s">
        <v>504</v>
      </c>
      <c r="D184" s="374">
        <v>190668</v>
      </c>
      <c r="E184" s="375">
        <v>0</v>
      </c>
      <c r="F184" s="374">
        <v>30400</v>
      </c>
      <c r="G184" s="375">
        <f t="shared" si="2"/>
        <v>160268</v>
      </c>
    </row>
    <row r="185" spans="1:7" s="387" customFormat="1" ht="15" customHeight="1">
      <c r="A185" s="381">
        <v>80147</v>
      </c>
      <c r="B185" s="382" t="s">
        <v>486</v>
      </c>
      <c r="C185" s="383" t="s">
        <v>151</v>
      </c>
      <c r="D185" s="384">
        <v>7384520</v>
      </c>
      <c r="E185" s="385">
        <f>SUM(E186:E190)</f>
        <v>28000</v>
      </c>
      <c r="F185" s="385">
        <f>SUM(F186:F190)</f>
        <v>359636</v>
      </c>
      <c r="G185" s="385">
        <f t="shared" si="2"/>
        <v>7052884</v>
      </c>
    </row>
    <row r="186" spans="1:7" ht="15" customHeight="1">
      <c r="A186" s="371" t="s">
        <v>486</v>
      </c>
      <c r="B186" s="372">
        <v>3020</v>
      </c>
      <c r="C186" s="373" t="s">
        <v>520</v>
      </c>
      <c r="D186" s="374">
        <v>5455</v>
      </c>
      <c r="E186" s="375">
        <v>28000</v>
      </c>
      <c r="F186" s="374">
        <v>0</v>
      </c>
      <c r="G186" s="375">
        <f t="shared" si="2"/>
        <v>33455</v>
      </c>
    </row>
    <row r="187" spans="1:7" ht="15" customHeight="1">
      <c r="A187" s="371" t="s">
        <v>486</v>
      </c>
      <c r="B187" s="372">
        <v>4010</v>
      </c>
      <c r="C187" s="373" t="s">
        <v>490</v>
      </c>
      <c r="D187" s="374">
        <v>5105374</v>
      </c>
      <c r="E187" s="375">
        <v>0</v>
      </c>
      <c r="F187" s="374">
        <v>274892</v>
      </c>
      <c r="G187" s="375">
        <f t="shared" si="2"/>
        <v>4830482</v>
      </c>
    </row>
    <row r="188" spans="1:7" ht="15" customHeight="1">
      <c r="A188" s="371" t="s">
        <v>486</v>
      </c>
      <c r="B188" s="372">
        <v>4040</v>
      </c>
      <c r="C188" s="373" t="s">
        <v>491</v>
      </c>
      <c r="D188" s="374">
        <v>361334</v>
      </c>
      <c r="E188" s="375">
        <v>0</v>
      </c>
      <c r="F188" s="374">
        <v>9077</v>
      </c>
      <c r="G188" s="375">
        <f t="shared" si="2"/>
        <v>352257</v>
      </c>
    </row>
    <row r="189" spans="1:7" ht="15" customHeight="1">
      <c r="A189" s="371" t="s">
        <v>486</v>
      </c>
      <c r="B189" s="372">
        <v>4110</v>
      </c>
      <c r="C189" s="373" t="s">
        <v>492</v>
      </c>
      <c r="D189" s="374">
        <v>909040</v>
      </c>
      <c r="E189" s="375">
        <v>0</v>
      </c>
      <c r="F189" s="374">
        <v>59391</v>
      </c>
      <c r="G189" s="375">
        <f t="shared" si="2"/>
        <v>849649</v>
      </c>
    </row>
    <row r="190" spans="1:7" ht="15" customHeight="1">
      <c r="A190" s="371" t="s">
        <v>486</v>
      </c>
      <c r="B190" s="372">
        <v>4120</v>
      </c>
      <c r="C190" s="373" t="s">
        <v>493</v>
      </c>
      <c r="D190" s="374">
        <v>106077</v>
      </c>
      <c r="E190" s="375">
        <v>0</v>
      </c>
      <c r="F190" s="374">
        <v>16276</v>
      </c>
      <c r="G190" s="375">
        <f t="shared" si="2"/>
        <v>89801</v>
      </c>
    </row>
    <row r="191" spans="1:7" s="387" customFormat="1" ht="55.15" customHeight="1">
      <c r="A191" s="381">
        <v>80149</v>
      </c>
      <c r="B191" s="382" t="s">
        <v>486</v>
      </c>
      <c r="C191" s="383" t="s">
        <v>153</v>
      </c>
      <c r="D191" s="384">
        <v>1573326</v>
      </c>
      <c r="E191" s="385">
        <f>SUM(E192:E195)</f>
        <v>0</v>
      </c>
      <c r="F191" s="385">
        <f>SUM(F192:F195)</f>
        <v>496538</v>
      </c>
      <c r="G191" s="385">
        <f t="shared" si="2"/>
        <v>1076788</v>
      </c>
    </row>
    <row r="192" spans="1:7" ht="15" customHeight="1">
      <c r="A192" s="371" t="s">
        <v>486</v>
      </c>
      <c r="B192" s="372">
        <v>4010</v>
      </c>
      <c r="C192" s="373" t="s">
        <v>490</v>
      </c>
      <c r="D192" s="374">
        <v>1191428.3999999999</v>
      </c>
      <c r="E192" s="375">
        <v>0</v>
      </c>
      <c r="F192" s="374">
        <v>399553.4</v>
      </c>
      <c r="G192" s="375">
        <f t="shared" si="2"/>
        <v>791874.99999999988</v>
      </c>
    </row>
    <row r="193" spans="1:7" ht="15" customHeight="1">
      <c r="A193" s="371" t="s">
        <v>486</v>
      </c>
      <c r="B193" s="372">
        <v>4040</v>
      </c>
      <c r="C193" s="373" t="s">
        <v>491</v>
      </c>
      <c r="D193" s="374">
        <v>35897</v>
      </c>
      <c r="E193" s="375">
        <v>0</v>
      </c>
      <c r="F193" s="374">
        <v>1853</v>
      </c>
      <c r="G193" s="375">
        <f t="shared" si="2"/>
        <v>34044</v>
      </c>
    </row>
    <row r="194" spans="1:7" ht="15" customHeight="1">
      <c r="A194" s="371" t="s">
        <v>486</v>
      </c>
      <c r="B194" s="372">
        <v>4110</v>
      </c>
      <c r="C194" s="373" t="s">
        <v>492</v>
      </c>
      <c r="D194" s="374">
        <v>222313.60000000001</v>
      </c>
      <c r="E194" s="375">
        <v>0</v>
      </c>
      <c r="F194" s="374">
        <v>82629.600000000006</v>
      </c>
      <c r="G194" s="375">
        <f t="shared" si="2"/>
        <v>139684</v>
      </c>
    </row>
    <row r="195" spans="1:7" ht="15" customHeight="1">
      <c r="A195" s="371" t="s">
        <v>486</v>
      </c>
      <c r="B195" s="372">
        <v>4120</v>
      </c>
      <c r="C195" s="373" t="s">
        <v>493</v>
      </c>
      <c r="D195" s="374">
        <v>30371</v>
      </c>
      <c r="E195" s="375">
        <v>0</v>
      </c>
      <c r="F195" s="374">
        <v>12502</v>
      </c>
      <c r="G195" s="375">
        <f t="shared" si="2"/>
        <v>17869</v>
      </c>
    </row>
    <row r="196" spans="1:7" s="387" customFormat="1" ht="15" customHeight="1">
      <c r="A196" s="381">
        <v>80151</v>
      </c>
      <c r="B196" s="382" t="s">
        <v>486</v>
      </c>
      <c r="C196" s="383" t="s">
        <v>155</v>
      </c>
      <c r="D196" s="384">
        <v>90725</v>
      </c>
      <c r="E196" s="385">
        <f>E197</f>
        <v>0</v>
      </c>
      <c r="F196" s="385">
        <f>F197</f>
        <v>28227</v>
      </c>
      <c r="G196" s="385">
        <f t="shared" si="2"/>
        <v>62498</v>
      </c>
    </row>
    <row r="197" spans="1:7" ht="15" customHeight="1">
      <c r="A197" s="371" t="s">
        <v>486</v>
      </c>
      <c r="B197" s="372">
        <v>4010</v>
      </c>
      <c r="C197" s="373" t="s">
        <v>490</v>
      </c>
      <c r="D197" s="374">
        <v>78010</v>
      </c>
      <c r="E197" s="375">
        <v>0</v>
      </c>
      <c r="F197" s="374">
        <v>28227</v>
      </c>
      <c r="G197" s="375">
        <f t="shared" si="2"/>
        <v>49783</v>
      </c>
    </row>
    <row r="198" spans="1:7" s="387" customFormat="1" ht="15" customHeight="1">
      <c r="A198" s="381">
        <v>80195</v>
      </c>
      <c r="B198" s="382" t="s">
        <v>486</v>
      </c>
      <c r="C198" s="383" t="s">
        <v>37</v>
      </c>
      <c r="D198" s="384">
        <v>9458930</v>
      </c>
      <c r="E198" s="385">
        <f>SUM(E199:E212)</f>
        <v>1285</v>
      </c>
      <c r="F198" s="385">
        <f>SUM(F199:F212)</f>
        <v>1120599</v>
      </c>
      <c r="G198" s="385">
        <f t="shared" si="2"/>
        <v>8339616</v>
      </c>
    </row>
    <row r="199" spans="1:7" ht="66.75" customHeight="1">
      <c r="A199" s="371" t="s">
        <v>486</v>
      </c>
      <c r="B199" s="372">
        <v>2009</v>
      </c>
      <c r="C199" s="373" t="s">
        <v>506</v>
      </c>
      <c r="D199" s="374">
        <v>568645</v>
      </c>
      <c r="E199" s="375">
        <v>0</v>
      </c>
      <c r="F199" s="374">
        <v>113144</v>
      </c>
      <c r="G199" s="375">
        <f t="shared" si="2"/>
        <v>455501</v>
      </c>
    </row>
    <row r="200" spans="1:7" ht="66" customHeight="1">
      <c r="A200" s="371" t="s">
        <v>486</v>
      </c>
      <c r="B200" s="372">
        <v>2059</v>
      </c>
      <c r="C200" s="373" t="s">
        <v>538</v>
      </c>
      <c r="D200" s="374">
        <v>1999079</v>
      </c>
      <c r="E200" s="375">
        <v>0</v>
      </c>
      <c r="F200" s="374">
        <v>36537</v>
      </c>
      <c r="G200" s="375">
        <f t="shared" si="2"/>
        <v>1962542</v>
      </c>
    </row>
    <row r="201" spans="1:7" ht="53.25" customHeight="1">
      <c r="A201" s="371" t="s">
        <v>486</v>
      </c>
      <c r="B201" s="372">
        <v>2919</v>
      </c>
      <c r="C201" s="373" t="s">
        <v>508</v>
      </c>
      <c r="D201" s="374">
        <v>2508</v>
      </c>
      <c r="E201" s="375">
        <v>1285</v>
      </c>
      <c r="F201" s="374">
        <v>0</v>
      </c>
      <c r="G201" s="375">
        <f t="shared" si="2"/>
        <v>3793</v>
      </c>
    </row>
    <row r="202" spans="1:7" ht="15" customHeight="1">
      <c r="A202" s="371" t="s">
        <v>486</v>
      </c>
      <c r="B202" s="372">
        <v>4017</v>
      </c>
      <c r="C202" s="373" t="s">
        <v>490</v>
      </c>
      <c r="D202" s="374">
        <v>331035</v>
      </c>
      <c r="E202" s="375">
        <v>0</v>
      </c>
      <c r="F202" s="374">
        <v>17909</v>
      </c>
      <c r="G202" s="375">
        <f t="shared" si="2"/>
        <v>313126</v>
      </c>
    </row>
    <row r="203" spans="1:7" ht="15" customHeight="1">
      <c r="A203" s="371" t="s">
        <v>486</v>
      </c>
      <c r="B203" s="372">
        <v>4019</v>
      </c>
      <c r="C203" s="373" t="s">
        <v>490</v>
      </c>
      <c r="D203" s="374">
        <v>50054</v>
      </c>
      <c r="E203" s="375">
        <v>0</v>
      </c>
      <c r="F203" s="374">
        <v>3159</v>
      </c>
      <c r="G203" s="375">
        <f t="shared" si="2"/>
        <v>46895</v>
      </c>
    </row>
    <row r="204" spans="1:7" ht="15" customHeight="1">
      <c r="A204" s="371" t="s">
        <v>486</v>
      </c>
      <c r="B204" s="372">
        <v>4117</v>
      </c>
      <c r="C204" s="373" t="s">
        <v>492</v>
      </c>
      <c r="D204" s="374">
        <v>70474</v>
      </c>
      <c r="E204" s="375">
        <v>0</v>
      </c>
      <c r="F204" s="374">
        <v>9936</v>
      </c>
      <c r="G204" s="375">
        <f t="shared" ref="G204:G267" si="3">D204+E204-F204</f>
        <v>60538</v>
      </c>
    </row>
    <row r="205" spans="1:7" ht="15" customHeight="1">
      <c r="A205" s="371" t="s">
        <v>486</v>
      </c>
      <c r="B205" s="372">
        <v>4119</v>
      </c>
      <c r="C205" s="373" t="s">
        <v>492</v>
      </c>
      <c r="D205" s="374">
        <v>11385</v>
      </c>
      <c r="E205" s="375">
        <v>0</v>
      </c>
      <c r="F205" s="374">
        <v>1753</v>
      </c>
      <c r="G205" s="375">
        <f t="shared" si="3"/>
        <v>9632</v>
      </c>
    </row>
    <row r="206" spans="1:7" ht="15" customHeight="1">
      <c r="A206" s="371" t="s">
        <v>486</v>
      </c>
      <c r="B206" s="372">
        <v>4127</v>
      </c>
      <c r="C206" s="373" t="s">
        <v>493</v>
      </c>
      <c r="D206" s="374">
        <v>9496</v>
      </c>
      <c r="E206" s="375">
        <v>0</v>
      </c>
      <c r="F206" s="374">
        <v>1731</v>
      </c>
      <c r="G206" s="375">
        <f t="shared" si="3"/>
        <v>7765</v>
      </c>
    </row>
    <row r="207" spans="1:7" ht="15" customHeight="1">
      <c r="A207" s="371" t="s">
        <v>486</v>
      </c>
      <c r="B207" s="372">
        <v>4129</v>
      </c>
      <c r="C207" s="373" t="s">
        <v>493</v>
      </c>
      <c r="D207" s="374">
        <v>1441</v>
      </c>
      <c r="E207" s="375">
        <v>0</v>
      </c>
      <c r="F207" s="374">
        <v>306</v>
      </c>
      <c r="G207" s="375">
        <f t="shared" si="3"/>
        <v>1135</v>
      </c>
    </row>
    <row r="208" spans="1:7" ht="15" customHeight="1">
      <c r="A208" s="371" t="s">
        <v>486</v>
      </c>
      <c r="B208" s="372">
        <v>4177</v>
      </c>
      <c r="C208" s="373" t="s">
        <v>494</v>
      </c>
      <c r="D208" s="374">
        <v>446158</v>
      </c>
      <c r="E208" s="375">
        <v>0</v>
      </c>
      <c r="F208" s="374">
        <v>147498</v>
      </c>
      <c r="G208" s="375">
        <f t="shared" si="3"/>
        <v>298660</v>
      </c>
    </row>
    <row r="209" spans="1:7" ht="15" customHeight="1">
      <c r="A209" s="371" t="s">
        <v>486</v>
      </c>
      <c r="B209" s="372">
        <v>4179</v>
      </c>
      <c r="C209" s="373" t="s">
        <v>494</v>
      </c>
      <c r="D209" s="374">
        <v>75610</v>
      </c>
      <c r="E209" s="375">
        <v>0</v>
      </c>
      <c r="F209" s="374">
        <v>26027</v>
      </c>
      <c r="G209" s="375">
        <f t="shared" si="3"/>
        <v>49583</v>
      </c>
    </row>
    <row r="210" spans="1:7" ht="15" customHeight="1">
      <c r="A210" s="376" t="s">
        <v>486</v>
      </c>
      <c r="B210" s="377">
        <v>4307</v>
      </c>
      <c r="C210" s="378" t="s">
        <v>488</v>
      </c>
      <c r="D210" s="379">
        <v>1562525</v>
      </c>
      <c r="E210" s="380">
        <v>0</v>
      </c>
      <c r="F210" s="379">
        <v>232596</v>
      </c>
      <c r="G210" s="380">
        <f t="shared" si="3"/>
        <v>1329929</v>
      </c>
    </row>
    <row r="211" spans="1:7" ht="15" customHeight="1">
      <c r="A211" s="552" t="s">
        <v>486</v>
      </c>
      <c r="B211" s="553">
        <v>4309</v>
      </c>
      <c r="C211" s="554" t="s">
        <v>488</v>
      </c>
      <c r="D211" s="555">
        <v>254685</v>
      </c>
      <c r="E211" s="556">
        <v>0</v>
      </c>
      <c r="F211" s="555">
        <v>41046</v>
      </c>
      <c r="G211" s="556">
        <f t="shared" si="3"/>
        <v>213639</v>
      </c>
    </row>
    <row r="212" spans="1:7" ht="66" customHeight="1">
      <c r="A212" s="371" t="s">
        <v>486</v>
      </c>
      <c r="B212" s="372">
        <v>6259</v>
      </c>
      <c r="C212" s="373" t="s">
        <v>521</v>
      </c>
      <c r="D212" s="374">
        <v>948693</v>
      </c>
      <c r="E212" s="375">
        <v>0</v>
      </c>
      <c r="F212" s="374">
        <v>488957</v>
      </c>
      <c r="G212" s="375">
        <f t="shared" si="3"/>
        <v>459736</v>
      </c>
    </row>
    <row r="213" spans="1:7" s="387" customFormat="1" ht="15" customHeight="1">
      <c r="A213" s="388" t="s">
        <v>158</v>
      </c>
      <c r="B213" s="389" t="s">
        <v>486</v>
      </c>
      <c r="C213" s="390" t="s">
        <v>159</v>
      </c>
      <c r="D213" s="391">
        <v>214838200</v>
      </c>
      <c r="E213" s="392">
        <f>E214+E218+E220+E227+E232+E237+E241</f>
        <v>42904221</v>
      </c>
      <c r="F213" s="392">
        <f>F214+F218+F220+F227+F232+F237+F241</f>
        <v>88200002</v>
      </c>
      <c r="G213" s="392">
        <f t="shared" si="3"/>
        <v>169542419</v>
      </c>
    </row>
    <row r="214" spans="1:7" s="387" customFormat="1" ht="15" customHeight="1">
      <c r="A214" s="381">
        <v>85111</v>
      </c>
      <c r="B214" s="382" t="s">
        <v>486</v>
      </c>
      <c r="C214" s="383" t="s">
        <v>160</v>
      </c>
      <c r="D214" s="384">
        <v>19948919</v>
      </c>
      <c r="E214" s="385">
        <f>SUM(E215:E217)</f>
        <v>2219043</v>
      </c>
      <c r="F214" s="385">
        <f>SUM(F215:F217)</f>
        <v>6931911</v>
      </c>
      <c r="G214" s="385">
        <f t="shared" si="3"/>
        <v>15236051</v>
      </c>
    </row>
    <row r="215" spans="1:7" ht="65.25" customHeight="1">
      <c r="A215" s="371" t="s">
        <v>486</v>
      </c>
      <c r="B215" s="372">
        <v>2009</v>
      </c>
      <c r="C215" s="373" t="s">
        <v>506</v>
      </c>
      <c r="D215" s="374">
        <v>21705</v>
      </c>
      <c r="E215" s="375">
        <v>736683</v>
      </c>
      <c r="F215" s="374">
        <v>0</v>
      </c>
      <c r="G215" s="375">
        <f t="shared" si="3"/>
        <v>758388</v>
      </c>
    </row>
    <row r="216" spans="1:7" ht="65.25" customHeight="1">
      <c r="A216" s="371" t="s">
        <v>486</v>
      </c>
      <c r="B216" s="372">
        <v>6209</v>
      </c>
      <c r="C216" s="373" t="s">
        <v>522</v>
      </c>
      <c r="D216" s="374">
        <v>9611758</v>
      </c>
      <c r="E216" s="375">
        <v>0</v>
      </c>
      <c r="F216" s="374">
        <v>6931911</v>
      </c>
      <c r="G216" s="375">
        <f t="shared" si="3"/>
        <v>2679847</v>
      </c>
    </row>
    <row r="217" spans="1:7" ht="41.45" customHeight="1">
      <c r="A217" s="371" t="s">
        <v>486</v>
      </c>
      <c r="B217" s="372">
        <v>6220</v>
      </c>
      <c r="C217" s="373" t="s">
        <v>523</v>
      </c>
      <c r="D217" s="374">
        <v>9125132</v>
      </c>
      <c r="E217" s="375">
        <v>1482360</v>
      </c>
      <c r="F217" s="374">
        <v>0</v>
      </c>
      <c r="G217" s="375">
        <f t="shared" si="3"/>
        <v>10607492</v>
      </c>
    </row>
    <row r="218" spans="1:7" s="387" customFormat="1" ht="15" customHeight="1">
      <c r="A218" s="381">
        <v>85119</v>
      </c>
      <c r="B218" s="382" t="s">
        <v>486</v>
      </c>
      <c r="C218" s="383" t="s">
        <v>161</v>
      </c>
      <c r="D218" s="384">
        <v>1395000</v>
      </c>
      <c r="E218" s="385">
        <f>E219</f>
        <v>5000000</v>
      </c>
      <c r="F218" s="385">
        <f>F219</f>
        <v>0</v>
      </c>
      <c r="G218" s="385">
        <f t="shared" si="3"/>
        <v>6395000</v>
      </c>
    </row>
    <row r="219" spans="1:7" ht="15" customHeight="1">
      <c r="A219" s="371" t="s">
        <v>486</v>
      </c>
      <c r="B219" s="372">
        <v>6010</v>
      </c>
      <c r="C219" s="373" t="s">
        <v>511</v>
      </c>
      <c r="D219" s="374">
        <v>1395000</v>
      </c>
      <c r="E219" s="375">
        <v>5000000</v>
      </c>
      <c r="F219" s="374">
        <v>0</v>
      </c>
      <c r="G219" s="375">
        <f t="shared" si="3"/>
        <v>6395000</v>
      </c>
    </row>
    <row r="220" spans="1:7" s="387" customFormat="1" ht="15" customHeight="1">
      <c r="A220" s="381">
        <v>85149</v>
      </c>
      <c r="B220" s="382" t="s">
        <v>486</v>
      </c>
      <c r="C220" s="383" t="s">
        <v>165</v>
      </c>
      <c r="D220" s="384">
        <v>1760000</v>
      </c>
      <c r="E220" s="385">
        <f>SUM(E221:E226)</f>
        <v>0</v>
      </c>
      <c r="F220" s="385">
        <f>SUM(F221:F226)</f>
        <v>607653</v>
      </c>
      <c r="G220" s="385">
        <f t="shared" si="3"/>
        <v>1152347</v>
      </c>
    </row>
    <row r="221" spans="1:7" ht="65.25" customHeight="1">
      <c r="A221" s="371" t="s">
        <v>486</v>
      </c>
      <c r="B221" s="372">
        <v>2009</v>
      </c>
      <c r="C221" s="373" t="s">
        <v>506</v>
      </c>
      <c r="D221" s="374">
        <v>810000</v>
      </c>
      <c r="E221" s="375">
        <v>0</v>
      </c>
      <c r="F221" s="374">
        <v>522817</v>
      </c>
      <c r="G221" s="375">
        <f t="shared" si="3"/>
        <v>287183</v>
      </c>
    </row>
    <row r="222" spans="1:7" ht="53.25" customHeight="1">
      <c r="A222" s="371" t="s">
        <v>486</v>
      </c>
      <c r="B222" s="372">
        <v>2360</v>
      </c>
      <c r="C222" s="373" t="s">
        <v>515</v>
      </c>
      <c r="D222" s="374">
        <v>200000</v>
      </c>
      <c r="E222" s="375">
        <v>0</v>
      </c>
      <c r="F222" s="374">
        <v>6040</v>
      </c>
      <c r="G222" s="375">
        <f t="shared" si="3"/>
        <v>193960</v>
      </c>
    </row>
    <row r="223" spans="1:7" ht="39.75" customHeight="1">
      <c r="A223" s="371" t="s">
        <v>486</v>
      </c>
      <c r="B223" s="372">
        <v>2780</v>
      </c>
      <c r="C223" s="373" t="s">
        <v>524</v>
      </c>
      <c r="D223" s="374">
        <v>675000</v>
      </c>
      <c r="E223" s="375">
        <v>0</v>
      </c>
      <c r="F223" s="374">
        <v>73796</v>
      </c>
      <c r="G223" s="375">
        <f t="shared" si="3"/>
        <v>601204</v>
      </c>
    </row>
    <row r="224" spans="1:7" ht="15" customHeight="1">
      <c r="A224" s="371" t="s">
        <v>486</v>
      </c>
      <c r="B224" s="372">
        <v>4170</v>
      </c>
      <c r="C224" s="373" t="s">
        <v>494</v>
      </c>
      <c r="D224" s="374">
        <v>1000</v>
      </c>
      <c r="E224" s="375">
        <v>0</v>
      </c>
      <c r="F224" s="374">
        <v>1000</v>
      </c>
      <c r="G224" s="375">
        <f t="shared" si="3"/>
        <v>0</v>
      </c>
    </row>
    <row r="225" spans="1:7" ht="15" customHeight="1">
      <c r="A225" s="371" t="s">
        <v>486</v>
      </c>
      <c r="B225" s="372">
        <v>4190</v>
      </c>
      <c r="C225" s="373" t="s">
        <v>487</v>
      </c>
      <c r="D225" s="374">
        <v>2000</v>
      </c>
      <c r="E225" s="375">
        <v>0</v>
      </c>
      <c r="F225" s="374">
        <v>2000</v>
      </c>
      <c r="G225" s="375">
        <f t="shared" si="3"/>
        <v>0</v>
      </c>
    </row>
    <row r="226" spans="1:7" ht="15" customHeight="1">
      <c r="A226" s="371" t="s">
        <v>486</v>
      </c>
      <c r="B226" s="372">
        <v>4210</v>
      </c>
      <c r="C226" s="373" t="s">
        <v>495</v>
      </c>
      <c r="D226" s="374">
        <v>2000</v>
      </c>
      <c r="E226" s="375">
        <v>0</v>
      </c>
      <c r="F226" s="374">
        <v>2000</v>
      </c>
      <c r="G226" s="375">
        <f t="shared" si="3"/>
        <v>0</v>
      </c>
    </row>
    <row r="227" spans="1:7" s="387" customFormat="1" ht="15" customHeight="1">
      <c r="A227" s="381">
        <v>85153</v>
      </c>
      <c r="B227" s="382" t="s">
        <v>486</v>
      </c>
      <c r="C227" s="383" t="s">
        <v>166</v>
      </c>
      <c r="D227" s="384">
        <v>480000</v>
      </c>
      <c r="E227" s="385">
        <f>SUM(E228:E231)</f>
        <v>0</v>
      </c>
      <c r="F227" s="385">
        <f>SUM(F228:F231)</f>
        <v>118000</v>
      </c>
      <c r="G227" s="385">
        <f t="shared" si="3"/>
        <v>362000</v>
      </c>
    </row>
    <row r="228" spans="1:7" ht="15" customHeight="1">
      <c r="A228" s="371" t="s">
        <v>486</v>
      </c>
      <c r="B228" s="372">
        <v>4170</v>
      </c>
      <c r="C228" s="373" t="s">
        <v>494</v>
      </c>
      <c r="D228" s="374">
        <v>14000</v>
      </c>
      <c r="E228" s="375">
        <v>0</v>
      </c>
      <c r="F228" s="374">
        <v>14000</v>
      </c>
      <c r="G228" s="375">
        <f t="shared" si="3"/>
        <v>0</v>
      </c>
    </row>
    <row r="229" spans="1:7" ht="15" customHeight="1">
      <c r="A229" s="371" t="s">
        <v>486</v>
      </c>
      <c r="B229" s="372">
        <v>4190</v>
      </c>
      <c r="C229" s="373" t="s">
        <v>487</v>
      </c>
      <c r="D229" s="374">
        <v>11000</v>
      </c>
      <c r="E229" s="375">
        <v>0</v>
      </c>
      <c r="F229" s="374">
        <v>11000</v>
      </c>
      <c r="G229" s="375">
        <f t="shared" si="3"/>
        <v>0</v>
      </c>
    </row>
    <row r="230" spans="1:7" ht="15" customHeight="1">
      <c r="A230" s="371" t="s">
        <v>486</v>
      </c>
      <c r="B230" s="372">
        <v>4210</v>
      </c>
      <c r="C230" s="373" t="s">
        <v>495</v>
      </c>
      <c r="D230" s="374">
        <v>7000</v>
      </c>
      <c r="E230" s="375">
        <v>0</v>
      </c>
      <c r="F230" s="374">
        <v>7000</v>
      </c>
      <c r="G230" s="375">
        <f t="shared" si="3"/>
        <v>0</v>
      </c>
    </row>
    <row r="231" spans="1:7" ht="15" customHeight="1">
      <c r="A231" s="371" t="s">
        <v>486</v>
      </c>
      <c r="B231" s="372">
        <v>4300</v>
      </c>
      <c r="C231" s="373" t="s">
        <v>488</v>
      </c>
      <c r="D231" s="374">
        <v>98000</v>
      </c>
      <c r="E231" s="375">
        <v>0</v>
      </c>
      <c r="F231" s="374">
        <v>86000</v>
      </c>
      <c r="G231" s="375">
        <f t="shared" si="3"/>
        <v>12000</v>
      </c>
    </row>
    <row r="232" spans="1:7" s="387" customFormat="1" ht="15" customHeight="1">
      <c r="A232" s="381">
        <v>85154</v>
      </c>
      <c r="B232" s="382" t="s">
        <v>486</v>
      </c>
      <c r="C232" s="383" t="s">
        <v>167</v>
      </c>
      <c r="D232" s="384">
        <v>620000</v>
      </c>
      <c r="E232" s="385">
        <f>SUM(E233:E236)</f>
        <v>0</v>
      </c>
      <c r="F232" s="385">
        <f>SUM(F233:F236)</f>
        <v>212160</v>
      </c>
      <c r="G232" s="385">
        <f t="shared" si="3"/>
        <v>407840</v>
      </c>
    </row>
    <row r="233" spans="1:7" ht="28.9" customHeight="1">
      <c r="A233" s="371" t="s">
        <v>486</v>
      </c>
      <c r="B233" s="372">
        <v>2800</v>
      </c>
      <c r="C233" s="373" t="s">
        <v>525</v>
      </c>
      <c r="D233" s="374">
        <v>260000</v>
      </c>
      <c r="E233" s="375">
        <v>0</v>
      </c>
      <c r="F233" s="374">
        <v>194160</v>
      </c>
      <c r="G233" s="375">
        <f t="shared" si="3"/>
        <v>65840</v>
      </c>
    </row>
    <row r="234" spans="1:7" ht="15" customHeight="1">
      <c r="A234" s="371" t="s">
        <v>486</v>
      </c>
      <c r="B234" s="372">
        <v>4170</v>
      </c>
      <c r="C234" s="373" t="s">
        <v>494</v>
      </c>
      <c r="D234" s="374">
        <v>3000</v>
      </c>
      <c r="E234" s="375">
        <v>0</v>
      </c>
      <c r="F234" s="374">
        <v>3000</v>
      </c>
      <c r="G234" s="375">
        <f t="shared" si="3"/>
        <v>0</v>
      </c>
    </row>
    <row r="235" spans="1:7" ht="15" customHeight="1">
      <c r="A235" s="371" t="s">
        <v>486</v>
      </c>
      <c r="B235" s="372">
        <v>4210</v>
      </c>
      <c r="C235" s="373" t="s">
        <v>495</v>
      </c>
      <c r="D235" s="374">
        <v>4000</v>
      </c>
      <c r="E235" s="375">
        <v>0</v>
      </c>
      <c r="F235" s="374">
        <v>4000</v>
      </c>
      <c r="G235" s="375">
        <f t="shared" si="3"/>
        <v>0</v>
      </c>
    </row>
    <row r="236" spans="1:7" ht="15" customHeight="1">
      <c r="A236" s="371" t="s">
        <v>486</v>
      </c>
      <c r="B236" s="372">
        <v>4300</v>
      </c>
      <c r="C236" s="373" t="s">
        <v>488</v>
      </c>
      <c r="D236" s="374">
        <v>23000</v>
      </c>
      <c r="E236" s="375">
        <v>0</v>
      </c>
      <c r="F236" s="374">
        <v>11000</v>
      </c>
      <c r="G236" s="375">
        <f t="shared" si="3"/>
        <v>12000</v>
      </c>
    </row>
    <row r="237" spans="1:7" s="387" customFormat="1" ht="15" customHeight="1">
      <c r="A237" s="381">
        <v>85157</v>
      </c>
      <c r="B237" s="382" t="s">
        <v>486</v>
      </c>
      <c r="C237" s="383" t="s">
        <v>485</v>
      </c>
      <c r="D237" s="384">
        <v>0</v>
      </c>
      <c r="E237" s="385">
        <f>SUM(E238:E240)</f>
        <v>35178</v>
      </c>
      <c r="F237" s="385">
        <f>SUM(F238:F240)</f>
        <v>0</v>
      </c>
      <c r="G237" s="385">
        <f t="shared" si="3"/>
        <v>35178</v>
      </c>
    </row>
    <row r="238" spans="1:7" ht="15" customHeight="1">
      <c r="A238" s="371" t="s">
        <v>486</v>
      </c>
      <c r="B238" s="372">
        <v>4010</v>
      </c>
      <c r="C238" s="373" t="s">
        <v>490</v>
      </c>
      <c r="D238" s="374">
        <v>0</v>
      </c>
      <c r="E238" s="375">
        <v>29403</v>
      </c>
      <c r="F238" s="374">
        <v>0</v>
      </c>
      <c r="G238" s="375">
        <f t="shared" si="3"/>
        <v>29403</v>
      </c>
    </row>
    <row r="239" spans="1:7" ht="15" customHeight="1">
      <c r="A239" s="371" t="s">
        <v>486</v>
      </c>
      <c r="B239" s="372">
        <v>4110</v>
      </c>
      <c r="C239" s="373" t="s">
        <v>492</v>
      </c>
      <c r="D239" s="374">
        <v>0</v>
      </c>
      <c r="E239" s="375">
        <v>5054</v>
      </c>
      <c r="F239" s="374">
        <v>0</v>
      </c>
      <c r="G239" s="375">
        <f t="shared" si="3"/>
        <v>5054</v>
      </c>
    </row>
    <row r="240" spans="1:7" ht="15" customHeight="1">
      <c r="A240" s="371" t="s">
        <v>486</v>
      </c>
      <c r="B240" s="372">
        <v>4120</v>
      </c>
      <c r="C240" s="373" t="s">
        <v>493</v>
      </c>
      <c r="D240" s="374">
        <v>0</v>
      </c>
      <c r="E240" s="375">
        <v>721</v>
      </c>
      <c r="F240" s="374">
        <v>0</v>
      </c>
      <c r="G240" s="375">
        <f t="shared" si="3"/>
        <v>721</v>
      </c>
    </row>
    <row r="241" spans="1:7" s="387" customFormat="1" ht="15" customHeight="1">
      <c r="A241" s="381">
        <v>85195</v>
      </c>
      <c r="B241" s="382" t="s">
        <v>486</v>
      </c>
      <c r="C241" s="383" t="s">
        <v>37</v>
      </c>
      <c r="D241" s="384">
        <v>184958992</v>
      </c>
      <c r="E241" s="385">
        <f>SUM(E242:E263)</f>
        <v>35650000</v>
      </c>
      <c r="F241" s="385">
        <f>SUM(F242:F263)</f>
        <v>80330278</v>
      </c>
      <c r="G241" s="385">
        <f t="shared" si="3"/>
        <v>140278714</v>
      </c>
    </row>
    <row r="242" spans="1:7" ht="65.25" customHeight="1">
      <c r="A242" s="371" t="s">
        <v>486</v>
      </c>
      <c r="B242" s="372">
        <v>2007</v>
      </c>
      <c r="C242" s="373" t="s">
        <v>506</v>
      </c>
      <c r="D242" s="374">
        <v>30983014</v>
      </c>
      <c r="E242" s="375">
        <v>0</v>
      </c>
      <c r="F242" s="374">
        <v>6940177</v>
      </c>
      <c r="G242" s="375">
        <f t="shared" si="3"/>
        <v>24042837</v>
      </c>
    </row>
    <row r="243" spans="1:7" ht="66" customHeight="1">
      <c r="A243" s="371" t="s">
        <v>486</v>
      </c>
      <c r="B243" s="372">
        <v>2009</v>
      </c>
      <c r="C243" s="373" t="s">
        <v>506</v>
      </c>
      <c r="D243" s="374">
        <v>4709463</v>
      </c>
      <c r="E243" s="375">
        <v>0</v>
      </c>
      <c r="F243" s="374">
        <v>1362474</v>
      </c>
      <c r="G243" s="375">
        <f t="shared" si="3"/>
        <v>3346989</v>
      </c>
    </row>
    <row r="244" spans="1:7" ht="65.25" customHeight="1">
      <c r="A244" s="376" t="s">
        <v>486</v>
      </c>
      <c r="B244" s="377">
        <v>2059</v>
      </c>
      <c r="C244" s="378" t="s">
        <v>538</v>
      </c>
      <c r="D244" s="379">
        <v>240500</v>
      </c>
      <c r="E244" s="380">
        <v>0</v>
      </c>
      <c r="F244" s="379">
        <v>67770</v>
      </c>
      <c r="G244" s="380">
        <f t="shared" si="3"/>
        <v>172730</v>
      </c>
    </row>
    <row r="245" spans="1:7" ht="15" customHeight="1">
      <c r="A245" s="552" t="s">
        <v>486</v>
      </c>
      <c r="B245" s="553">
        <v>4017</v>
      </c>
      <c r="C245" s="554" t="s">
        <v>490</v>
      </c>
      <c r="D245" s="555">
        <v>367080</v>
      </c>
      <c r="E245" s="556">
        <v>0</v>
      </c>
      <c r="F245" s="555">
        <v>182151</v>
      </c>
      <c r="G245" s="556">
        <f t="shared" si="3"/>
        <v>184929</v>
      </c>
    </row>
    <row r="246" spans="1:7" ht="15" customHeight="1">
      <c r="A246" s="371" t="s">
        <v>486</v>
      </c>
      <c r="B246" s="372">
        <v>4019</v>
      </c>
      <c r="C246" s="373" t="s">
        <v>490</v>
      </c>
      <c r="D246" s="374">
        <v>49869</v>
      </c>
      <c r="E246" s="375">
        <v>0</v>
      </c>
      <c r="F246" s="374">
        <v>22429</v>
      </c>
      <c r="G246" s="375">
        <f t="shared" si="3"/>
        <v>27440</v>
      </c>
    </row>
    <row r="247" spans="1:7" ht="15" customHeight="1">
      <c r="A247" s="371" t="s">
        <v>486</v>
      </c>
      <c r="B247" s="372">
        <v>4117</v>
      </c>
      <c r="C247" s="373" t="s">
        <v>492</v>
      </c>
      <c r="D247" s="374">
        <v>69254</v>
      </c>
      <c r="E247" s="375">
        <v>0</v>
      </c>
      <c r="F247" s="374">
        <v>30914</v>
      </c>
      <c r="G247" s="375">
        <f t="shared" si="3"/>
        <v>38340</v>
      </c>
    </row>
    <row r="248" spans="1:7" ht="15" customHeight="1">
      <c r="A248" s="371" t="s">
        <v>486</v>
      </c>
      <c r="B248" s="372">
        <v>4119</v>
      </c>
      <c r="C248" s="373" t="s">
        <v>492</v>
      </c>
      <c r="D248" s="374">
        <v>9296</v>
      </c>
      <c r="E248" s="375">
        <v>0</v>
      </c>
      <c r="F248" s="374">
        <v>4108</v>
      </c>
      <c r="G248" s="375">
        <f t="shared" si="3"/>
        <v>5188</v>
      </c>
    </row>
    <row r="249" spans="1:7" ht="15" customHeight="1">
      <c r="A249" s="371" t="s">
        <v>486</v>
      </c>
      <c r="B249" s="372">
        <v>4127</v>
      </c>
      <c r="C249" s="373" t="s">
        <v>493</v>
      </c>
      <c r="D249" s="374">
        <v>9873</v>
      </c>
      <c r="E249" s="375">
        <v>0</v>
      </c>
      <c r="F249" s="374">
        <v>5110</v>
      </c>
      <c r="G249" s="375">
        <f t="shared" si="3"/>
        <v>4763</v>
      </c>
    </row>
    <row r="250" spans="1:7" ht="15" customHeight="1">
      <c r="A250" s="371" t="s">
        <v>486</v>
      </c>
      <c r="B250" s="372">
        <v>4129</v>
      </c>
      <c r="C250" s="373" t="s">
        <v>493</v>
      </c>
      <c r="D250" s="374">
        <v>1326</v>
      </c>
      <c r="E250" s="375">
        <v>0</v>
      </c>
      <c r="F250" s="374">
        <v>609</v>
      </c>
      <c r="G250" s="375">
        <f t="shared" si="3"/>
        <v>717</v>
      </c>
    </row>
    <row r="251" spans="1:7" ht="15" customHeight="1">
      <c r="A251" s="371" t="s">
        <v>486</v>
      </c>
      <c r="B251" s="372">
        <v>4177</v>
      </c>
      <c r="C251" s="373" t="s">
        <v>494</v>
      </c>
      <c r="D251" s="374">
        <v>115790</v>
      </c>
      <c r="E251" s="375">
        <v>0</v>
      </c>
      <c r="F251" s="374">
        <v>37180</v>
      </c>
      <c r="G251" s="375">
        <f t="shared" si="3"/>
        <v>78610</v>
      </c>
    </row>
    <row r="252" spans="1:7" ht="15" customHeight="1">
      <c r="A252" s="371" t="s">
        <v>486</v>
      </c>
      <c r="B252" s="372">
        <v>4179</v>
      </c>
      <c r="C252" s="373" t="s">
        <v>494</v>
      </c>
      <c r="D252" s="374">
        <v>14211</v>
      </c>
      <c r="E252" s="375">
        <v>0</v>
      </c>
      <c r="F252" s="374">
        <v>4170</v>
      </c>
      <c r="G252" s="375">
        <f t="shared" si="3"/>
        <v>10041</v>
      </c>
    </row>
    <row r="253" spans="1:7" ht="15" customHeight="1">
      <c r="A253" s="371" t="s">
        <v>486</v>
      </c>
      <c r="B253" s="372">
        <v>4217</v>
      </c>
      <c r="C253" s="373" t="s">
        <v>495</v>
      </c>
      <c r="D253" s="374">
        <v>10372867</v>
      </c>
      <c r="E253" s="375">
        <v>0</v>
      </c>
      <c r="F253" s="374">
        <v>5391720</v>
      </c>
      <c r="G253" s="375">
        <f t="shared" si="3"/>
        <v>4981147</v>
      </c>
    </row>
    <row r="254" spans="1:7" ht="15" customHeight="1">
      <c r="A254" s="371" t="s">
        <v>486</v>
      </c>
      <c r="B254" s="372">
        <v>4219</v>
      </c>
      <c r="C254" s="373" t="s">
        <v>495</v>
      </c>
      <c r="D254" s="374">
        <v>1215991</v>
      </c>
      <c r="E254" s="375">
        <v>0</v>
      </c>
      <c r="F254" s="374">
        <v>629972</v>
      </c>
      <c r="G254" s="375">
        <f t="shared" si="3"/>
        <v>586019</v>
      </c>
    </row>
    <row r="255" spans="1:7" ht="15" customHeight="1">
      <c r="A255" s="371" t="s">
        <v>486</v>
      </c>
      <c r="B255" s="372">
        <v>4287</v>
      </c>
      <c r="C255" s="373" t="s">
        <v>526</v>
      </c>
      <c r="D255" s="374">
        <v>4634737</v>
      </c>
      <c r="E255" s="375">
        <v>0</v>
      </c>
      <c r="F255" s="374">
        <v>4252934</v>
      </c>
      <c r="G255" s="375">
        <f t="shared" si="3"/>
        <v>381803</v>
      </c>
    </row>
    <row r="256" spans="1:7" ht="15" customHeight="1">
      <c r="A256" s="371" t="s">
        <v>486</v>
      </c>
      <c r="B256" s="372">
        <v>4289</v>
      </c>
      <c r="C256" s="373" t="s">
        <v>526</v>
      </c>
      <c r="D256" s="374">
        <v>545263</v>
      </c>
      <c r="E256" s="375">
        <v>0</v>
      </c>
      <c r="F256" s="374">
        <v>500344</v>
      </c>
      <c r="G256" s="375">
        <f t="shared" si="3"/>
        <v>44919</v>
      </c>
    </row>
    <row r="257" spans="1:7" ht="15" customHeight="1">
      <c r="A257" s="371" t="s">
        <v>486</v>
      </c>
      <c r="B257" s="372">
        <v>4307</v>
      </c>
      <c r="C257" s="373" t="s">
        <v>488</v>
      </c>
      <c r="D257" s="374">
        <v>12266131</v>
      </c>
      <c r="E257" s="375">
        <v>0</v>
      </c>
      <c r="F257" s="374">
        <v>4409529</v>
      </c>
      <c r="G257" s="375">
        <f t="shared" si="3"/>
        <v>7856602</v>
      </c>
    </row>
    <row r="258" spans="1:7" ht="15" customHeight="1">
      <c r="A258" s="371" t="s">
        <v>486</v>
      </c>
      <c r="B258" s="372">
        <v>4309</v>
      </c>
      <c r="C258" s="373" t="s">
        <v>488</v>
      </c>
      <c r="D258" s="374">
        <v>1683476</v>
      </c>
      <c r="E258" s="375">
        <v>0</v>
      </c>
      <c r="F258" s="374">
        <v>560913</v>
      </c>
      <c r="G258" s="375">
        <f t="shared" si="3"/>
        <v>1122563</v>
      </c>
    </row>
    <row r="259" spans="1:7" ht="15" customHeight="1">
      <c r="A259" s="371" t="s">
        <v>486</v>
      </c>
      <c r="B259" s="372">
        <v>6010</v>
      </c>
      <c r="C259" s="373" t="s">
        <v>511</v>
      </c>
      <c r="D259" s="374">
        <v>44692500</v>
      </c>
      <c r="E259" s="375">
        <v>35650000</v>
      </c>
      <c r="F259" s="374">
        <v>0</v>
      </c>
      <c r="G259" s="375">
        <f t="shared" si="3"/>
        <v>80342500</v>
      </c>
    </row>
    <row r="260" spans="1:7" ht="15" customHeight="1">
      <c r="A260" s="371" t="s">
        <v>486</v>
      </c>
      <c r="B260" s="372">
        <v>6067</v>
      </c>
      <c r="C260" s="373" t="s">
        <v>510</v>
      </c>
      <c r="D260" s="374">
        <v>1754805</v>
      </c>
      <c r="E260" s="375">
        <v>0</v>
      </c>
      <c r="F260" s="374">
        <v>1754805</v>
      </c>
      <c r="G260" s="375">
        <f t="shared" si="3"/>
        <v>0</v>
      </c>
    </row>
    <row r="261" spans="1:7" ht="15" customHeight="1">
      <c r="A261" s="371" t="s">
        <v>486</v>
      </c>
      <c r="B261" s="372">
        <v>6069</v>
      </c>
      <c r="C261" s="373" t="s">
        <v>510</v>
      </c>
      <c r="D261" s="374">
        <v>198195</v>
      </c>
      <c r="E261" s="375">
        <v>0</v>
      </c>
      <c r="F261" s="374">
        <v>198195</v>
      </c>
      <c r="G261" s="375">
        <f t="shared" si="3"/>
        <v>0</v>
      </c>
    </row>
    <row r="262" spans="1:7" ht="65.25" customHeight="1">
      <c r="A262" s="371" t="s">
        <v>486</v>
      </c>
      <c r="B262" s="372">
        <v>6207</v>
      </c>
      <c r="C262" s="373" t="s">
        <v>522</v>
      </c>
      <c r="D262" s="374">
        <v>63872797</v>
      </c>
      <c r="E262" s="375">
        <v>0</v>
      </c>
      <c r="F262" s="374">
        <v>48577297</v>
      </c>
      <c r="G262" s="375">
        <f t="shared" si="3"/>
        <v>15295500</v>
      </c>
    </row>
    <row r="263" spans="1:7" ht="66" customHeight="1">
      <c r="A263" s="371" t="s">
        <v>486</v>
      </c>
      <c r="B263" s="372">
        <v>6209</v>
      </c>
      <c r="C263" s="373" t="s">
        <v>522</v>
      </c>
      <c r="D263" s="374">
        <v>7124382</v>
      </c>
      <c r="E263" s="375">
        <v>0</v>
      </c>
      <c r="F263" s="374">
        <v>5397477</v>
      </c>
      <c r="G263" s="375">
        <f t="shared" si="3"/>
        <v>1726905</v>
      </c>
    </row>
    <row r="264" spans="1:7" s="387" customFormat="1" ht="15" customHeight="1">
      <c r="A264" s="388" t="s">
        <v>282</v>
      </c>
      <c r="B264" s="389" t="s">
        <v>486</v>
      </c>
      <c r="C264" s="390" t="s">
        <v>169</v>
      </c>
      <c r="D264" s="391">
        <v>50393687</v>
      </c>
      <c r="E264" s="392">
        <f>E265+E267+E271+E273</f>
        <v>1773979</v>
      </c>
      <c r="F264" s="392">
        <f>F265+F267+F271+F273</f>
        <v>1837673</v>
      </c>
      <c r="G264" s="392">
        <f t="shared" si="3"/>
        <v>50329993</v>
      </c>
    </row>
    <row r="265" spans="1:7" s="387" customFormat="1" ht="15" customHeight="1">
      <c r="A265" s="381">
        <v>85203</v>
      </c>
      <c r="B265" s="382" t="s">
        <v>486</v>
      </c>
      <c r="C265" s="383" t="s">
        <v>170</v>
      </c>
      <c r="D265" s="384">
        <v>1500000</v>
      </c>
      <c r="E265" s="385">
        <f>E266</f>
        <v>197000</v>
      </c>
      <c r="F265" s="385">
        <f>F266</f>
        <v>0</v>
      </c>
      <c r="G265" s="385">
        <f t="shared" si="3"/>
        <v>1697000</v>
      </c>
    </row>
    <row r="266" spans="1:7" ht="65.25" customHeight="1">
      <c r="A266" s="371" t="s">
        <v>486</v>
      </c>
      <c r="B266" s="372">
        <v>2009</v>
      </c>
      <c r="C266" s="373" t="s">
        <v>506</v>
      </c>
      <c r="D266" s="374">
        <v>1500000</v>
      </c>
      <c r="E266" s="375">
        <v>197000</v>
      </c>
      <c r="F266" s="374">
        <v>0</v>
      </c>
      <c r="G266" s="375">
        <f t="shared" si="3"/>
        <v>1697000</v>
      </c>
    </row>
    <row r="267" spans="1:7" s="387" customFormat="1">
      <c r="A267" s="381">
        <v>85205</v>
      </c>
      <c r="B267" s="382" t="s">
        <v>486</v>
      </c>
      <c r="C267" s="383" t="s">
        <v>171</v>
      </c>
      <c r="D267" s="384">
        <v>500000</v>
      </c>
      <c r="E267" s="385">
        <f>SUM(E268:E270)</f>
        <v>0</v>
      </c>
      <c r="F267" s="385">
        <f>SUM(F268:F270)</f>
        <v>50000</v>
      </c>
      <c r="G267" s="385">
        <f t="shared" si="3"/>
        <v>450000</v>
      </c>
    </row>
    <row r="268" spans="1:7">
      <c r="A268" s="371" t="s">
        <v>486</v>
      </c>
      <c r="B268" s="372">
        <v>4170</v>
      </c>
      <c r="C268" s="373" t="s">
        <v>494</v>
      </c>
      <c r="D268" s="374">
        <v>182100</v>
      </c>
      <c r="E268" s="375">
        <v>0</v>
      </c>
      <c r="F268" s="374">
        <v>10000</v>
      </c>
      <c r="G268" s="375">
        <f t="shared" ref="G268:G331" si="4">D268+E268-F268</f>
        <v>172100</v>
      </c>
    </row>
    <row r="269" spans="1:7">
      <c r="A269" s="371" t="s">
        <v>486</v>
      </c>
      <c r="B269" s="372">
        <v>4210</v>
      </c>
      <c r="C269" s="373" t="s">
        <v>495</v>
      </c>
      <c r="D269" s="374">
        <v>2000</v>
      </c>
      <c r="E269" s="375">
        <v>0</v>
      </c>
      <c r="F269" s="374">
        <v>1000</v>
      </c>
      <c r="G269" s="375">
        <f t="shared" si="4"/>
        <v>1000</v>
      </c>
    </row>
    <row r="270" spans="1:7">
      <c r="A270" s="371" t="s">
        <v>486</v>
      </c>
      <c r="B270" s="372">
        <v>4300</v>
      </c>
      <c r="C270" s="373" t="s">
        <v>488</v>
      </c>
      <c r="D270" s="374">
        <v>270900</v>
      </c>
      <c r="E270" s="375">
        <v>0</v>
      </c>
      <c r="F270" s="374">
        <v>39000</v>
      </c>
      <c r="G270" s="375">
        <f t="shared" si="4"/>
        <v>231900</v>
      </c>
    </row>
    <row r="271" spans="1:7" s="387" customFormat="1">
      <c r="A271" s="381">
        <v>85228</v>
      </c>
      <c r="B271" s="382" t="s">
        <v>486</v>
      </c>
      <c r="C271" s="383" t="s">
        <v>173</v>
      </c>
      <c r="D271" s="384">
        <v>115000</v>
      </c>
      <c r="E271" s="385">
        <f>E272</f>
        <v>0</v>
      </c>
      <c r="F271" s="385">
        <f>F272</f>
        <v>44876</v>
      </c>
      <c r="G271" s="385">
        <f t="shared" si="4"/>
        <v>70124</v>
      </c>
    </row>
    <row r="272" spans="1:7" ht="68.25" customHeight="1">
      <c r="A272" s="371" t="s">
        <v>486</v>
      </c>
      <c r="B272" s="372">
        <v>2059</v>
      </c>
      <c r="C272" s="373" t="s">
        <v>538</v>
      </c>
      <c r="D272" s="374">
        <v>115000</v>
      </c>
      <c r="E272" s="375">
        <v>0</v>
      </c>
      <c r="F272" s="374">
        <v>44876</v>
      </c>
      <c r="G272" s="375">
        <f t="shared" si="4"/>
        <v>70124</v>
      </c>
    </row>
    <row r="273" spans="1:7" s="387" customFormat="1" ht="15" customHeight="1">
      <c r="A273" s="381">
        <v>85295</v>
      </c>
      <c r="B273" s="382" t="s">
        <v>486</v>
      </c>
      <c r="C273" s="383" t="s">
        <v>37</v>
      </c>
      <c r="D273" s="384">
        <v>45785491</v>
      </c>
      <c r="E273" s="385">
        <f>SUM(E274:E280)</f>
        <v>1576979</v>
      </c>
      <c r="F273" s="385">
        <f>SUM(F274:F280)</f>
        <v>1742797</v>
      </c>
      <c r="G273" s="385">
        <f t="shared" si="4"/>
        <v>45619673</v>
      </c>
    </row>
    <row r="274" spans="1:7" ht="66" customHeight="1">
      <c r="A274" s="371" t="s">
        <v>486</v>
      </c>
      <c r="B274" s="372">
        <v>2009</v>
      </c>
      <c r="C274" s="373" t="s">
        <v>506</v>
      </c>
      <c r="D274" s="374">
        <v>3154657</v>
      </c>
      <c r="E274" s="375">
        <v>1436910</v>
      </c>
      <c r="F274" s="374">
        <v>0</v>
      </c>
      <c r="G274" s="375">
        <f t="shared" si="4"/>
        <v>4591567</v>
      </c>
    </row>
    <row r="275" spans="1:7" ht="66" customHeight="1">
      <c r="A275" s="371" t="s">
        <v>486</v>
      </c>
      <c r="B275" s="372">
        <v>2059</v>
      </c>
      <c r="C275" s="373" t="s">
        <v>538</v>
      </c>
      <c r="D275" s="374">
        <v>4613906</v>
      </c>
      <c r="E275" s="375">
        <v>0</v>
      </c>
      <c r="F275" s="374">
        <v>567574</v>
      </c>
      <c r="G275" s="375">
        <f t="shared" si="4"/>
        <v>4046332</v>
      </c>
    </row>
    <row r="276" spans="1:7" ht="55.15" customHeight="1">
      <c r="A276" s="371" t="s">
        <v>486</v>
      </c>
      <c r="B276" s="372">
        <v>2919</v>
      </c>
      <c r="C276" s="373" t="s">
        <v>508</v>
      </c>
      <c r="D276" s="374">
        <v>3270</v>
      </c>
      <c r="E276" s="375">
        <v>2294</v>
      </c>
      <c r="F276" s="374">
        <v>0</v>
      </c>
      <c r="G276" s="375">
        <f t="shared" si="4"/>
        <v>5564</v>
      </c>
    </row>
    <row r="277" spans="1:7" ht="15" customHeight="1">
      <c r="A277" s="371" t="s">
        <v>486</v>
      </c>
      <c r="B277" s="372">
        <v>2959</v>
      </c>
      <c r="C277" s="373" t="s">
        <v>527</v>
      </c>
      <c r="D277" s="374">
        <v>16015</v>
      </c>
      <c r="E277" s="375">
        <v>287</v>
      </c>
      <c r="F277" s="374">
        <v>0</v>
      </c>
      <c r="G277" s="375">
        <f t="shared" si="4"/>
        <v>16302</v>
      </c>
    </row>
    <row r="278" spans="1:7" ht="65.25" customHeight="1">
      <c r="A278" s="371" t="s">
        <v>486</v>
      </c>
      <c r="B278" s="372">
        <v>6209</v>
      </c>
      <c r="C278" s="373" t="s">
        <v>522</v>
      </c>
      <c r="D278" s="374">
        <v>194055</v>
      </c>
      <c r="E278" s="375">
        <v>136314</v>
      </c>
      <c r="F278" s="374">
        <v>0</v>
      </c>
      <c r="G278" s="375">
        <f t="shared" si="4"/>
        <v>330369</v>
      </c>
    </row>
    <row r="279" spans="1:7" ht="69" customHeight="1">
      <c r="A279" s="376" t="s">
        <v>486</v>
      </c>
      <c r="B279" s="377">
        <v>6259</v>
      </c>
      <c r="C279" s="378" t="s">
        <v>521</v>
      </c>
      <c r="D279" s="379">
        <v>1313019</v>
      </c>
      <c r="E279" s="380">
        <v>0</v>
      </c>
      <c r="F279" s="379">
        <v>1175223</v>
      </c>
      <c r="G279" s="380">
        <f t="shared" si="4"/>
        <v>137796</v>
      </c>
    </row>
    <row r="280" spans="1:7" ht="28.9" customHeight="1">
      <c r="A280" s="557" t="s">
        <v>486</v>
      </c>
      <c r="B280" s="558">
        <v>6699</v>
      </c>
      <c r="C280" s="559" t="s">
        <v>528</v>
      </c>
      <c r="D280" s="560">
        <v>0</v>
      </c>
      <c r="E280" s="561">
        <v>1174</v>
      </c>
      <c r="F280" s="560">
        <v>0</v>
      </c>
      <c r="G280" s="561">
        <f t="shared" si="4"/>
        <v>1174</v>
      </c>
    </row>
    <row r="281" spans="1:7" s="387" customFormat="1" ht="28.9" customHeight="1">
      <c r="A281" s="388" t="s">
        <v>286</v>
      </c>
      <c r="B281" s="389" t="s">
        <v>486</v>
      </c>
      <c r="C281" s="390" t="s">
        <v>174</v>
      </c>
      <c r="D281" s="391">
        <v>81533215</v>
      </c>
      <c r="E281" s="392">
        <f>E282+E285+E287+E290</f>
        <v>1041629</v>
      </c>
      <c r="F281" s="392">
        <f>F282+F285+F287+F290</f>
        <v>9668447</v>
      </c>
      <c r="G281" s="392">
        <f t="shared" si="4"/>
        <v>72906397</v>
      </c>
    </row>
    <row r="282" spans="1:7" s="387" customFormat="1" ht="28.9" customHeight="1">
      <c r="A282" s="381">
        <v>85311</v>
      </c>
      <c r="B282" s="382" t="s">
        <v>486</v>
      </c>
      <c r="C282" s="383" t="s">
        <v>175</v>
      </c>
      <c r="D282" s="384">
        <v>444000</v>
      </c>
      <c r="E282" s="385">
        <f>SUM(E283:E284)</f>
        <v>0</v>
      </c>
      <c r="F282" s="385">
        <f>SUM(F283:F284)</f>
        <v>274240</v>
      </c>
      <c r="G282" s="385">
        <f t="shared" si="4"/>
        <v>169760</v>
      </c>
    </row>
    <row r="283" spans="1:7" ht="42" customHeight="1">
      <c r="A283" s="371" t="s">
        <v>486</v>
      </c>
      <c r="B283" s="372">
        <v>2310</v>
      </c>
      <c r="C283" s="373" t="s">
        <v>529</v>
      </c>
      <c r="D283" s="374">
        <v>189583</v>
      </c>
      <c r="E283" s="375">
        <v>0</v>
      </c>
      <c r="F283" s="374">
        <v>139683</v>
      </c>
      <c r="G283" s="375">
        <f t="shared" si="4"/>
        <v>49900</v>
      </c>
    </row>
    <row r="284" spans="1:7" ht="42" customHeight="1">
      <c r="A284" s="371" t="s">
        <v>486</v>
      </c>
      <c r="B284" s="372">
        <v>2320</v>
      </c>
      <c r="C284" s="373" t="s">
        <v>530</v>
      </c>
      <c r="D284" s="374">
        <v>141223</v>
      </c>
      <c r="E284" s="375">
        <v>0</v>
      </c>
      <c r="F284" s="374">
        <v>134557</v>
      </c>
      <c r="G284" s="375">
        <f t="shared" si="4"/>
        <v>6666</v>
      </c>
    </row>
    <row r="285" spans="1:7" s="387" customFormat="1" ht="15" customHeight="1">
      <c r="A285" s="381">
        <v>85325</v>
      </c>
      <c r="B285" s="382" t="s">
        <v>486</v>
      </c>
      <c r="C285" s="383" t="s">
        <v>177</v>
      </c>
      <c r="D285" s="384">
        <v>2005400</v>
      </c>
      <c r="E285" s="385">
        <f>E286</f>
        <v>25900</v>
      </c>
      <c r="F285" s="385">
        <f>F286</f>
        <v>0</v>
      </c>
      <c r="G285" s="385">
        <f t="shared" si="4"/>
        <v>2031300</v>
      </c>
    </row>
    <row r="286" spans="1:7" ht="15" customHeight="1">
      <c r="A286" s="371" t="s">
        <v>486</v>
      </c>
      <c r="B286" s="372">
        <v>4010</v>
      </c>
      <c r="C286" s="373" t="s">
        <v>490</v>
      </c>
      <c r="D286" s="374">
        <v>1285700</v>
      </c>
      <c r="E286" s="375">
        <v>25900</v>
      </c>
      <c r="F286" s="374">
        <v>0</v>
      </c>
      <c r="G286" s="375">
        <f t="shared" si="4"/>
        <v>1311600</v>
      </c>
    </row>
    <row r="287" spans="1:7" s="387" customFormat="1" ht="15" customHeight="1">
      <c r="A287" s="381">
        <v>85332</v>
      </c>
      <c r="B287" s="382" t="s">
        <v>486</v>
      </c>
      <c r="C287" s="383" t="s">
        <v>178</v>
      </c>
      <c r="D287" s="384">
        <v>17598912</v>
      </c>
      <c r="E287" s="385">
        <f>SUM(E288:E289)</f>
        <v>30467</v>
      </c>
      <c r="F287" s="385">
        <f>SUM(F288:F289)</f>
        <v>30467</v>
      </c>
      <c r="G287" s="385">
        <f t="shared" si="4"/>
        <v>17598912</v>
      </c>
    </row>
    <row r="288" spans="1:7" ht="55.15" customHeight="1">
      <c r="A288" s="371" t="s">
        <v>486</v>
      </c>
      <c r="B288" s="372">
        <v>2919</v>
      </c>
      <c r="C288" s="373" t="s">
        <v>508</v>
      </c>
      <c r="D288" s="374">
        <v>30467</v>
      </c>
      <c r="E288" s="375">
        <v>0</v>
      </c>
      <c r="F288" s="374">
        <v>30467</v>
      </c>
      <c r="G288" s="375">
        <f t="shared" si="4"/>
        <v>0</v>
      </c>
    </row>
    <row r="289" spans="1:7" ht="15" customHeight="1">
      <c r="A289" s="371" t="s">
        <v>486</v>
      </c>
      <c r="B289" s="372">
        <v>2959</v>
      </c>
      <c r="C289" s="373" t="s">
        <v>527</v>
      </c>
      <c r="D289" s="374">
        <v>0</v>
      </c>
      <c r="E289" s="375">
        <v>30467</v>
      </c>
      <c r="F289" s="374">
        <v>0</v>
      </c>
      <c r="G289" s="375">
        <f t="shared" si="4"/>
        <v>30467</v>
      </c>
    </row>
    <row r="290" spans="1:7" s="387" customFormat="1" ht="15" customHeight="1">
      <c r="A290" s="381">
        <v>85395</v>
      </c>
      <c r="B290" s="382" t="s">
        <v>486</v>
      </c>
      <c r="C290" s="383" t="s">
        <v>37</v>
      </c>
      <c r="D290" s="384">
        <v>61112021</v>
      </c>
      <c r="E290" s="385">
        <f>SUM(E291:E317)</f>
        <v>985262</v>
      </c>
      <c r="F290" s="385">
        <f>SUM(F291:F317)</f>
        <v>9363740</v>
      </c>
      <c r="G290" s="385">
        <f t="shared" si="4"/>
        <v>52733543</v>
      </c>
    </row>
    <row r="291" spans="1:7" ht="66.75" customHeight="1">
      <c r="A291" s="371" t="s">
        <v>486</v>
      </c>
      <c r="B291" s="372">
        <v>2007</v>
      </c>
      <c r="C291" s="373" t="s">
        <v>506</v>
      </c>
      <c r="D291" s="374">
        <v>19339749</v>
      </c>
      <c r="E291" s="375">
        <v>0</v>
      </c>
      <c r="F291" s="374">
        <v>1849716</v>
      </c>
      <c r="G291" s="375">
        <f t="shared" si="4"/>
        <v>17490033</v>
      </c>
    </row>
    <row r="292" spans="1:7" ht="66" customHeight="1">
      <c r="A292" s="371" t="s">
        <v>486</v>
      </c>
      <c r="B292" s="372">
        <v>2009</v>
      </c>
      <c r="C292" s="373" t="s">
        <v>506</v>
      </c>
      <c r="D292" s="374">
        <v>5075140</v>
      </c>
      <c r="E292" s="375">
        <v>0</v>
      </c>
      <c r="F292" s="374">
        <v>538002</v>
      </c>
      <c r="G292" s="375">
        <f t="shared" si="4"/>
        <v>4537138</v>
      </c>
    </row>
    <row r="293" spans="1:7" ht="66" customHeight="1">
      <c r="A293" s="371" t="s">
        <v>486</v>
      </c>
      <c r="B293" s="372">
        <v>2057</v>
      </c>
      <c r="C293" s="373" t="s">
        <v>538</v>
      </c>
      <c r="D293" s="374">
        <v>24251306</v>
      </c>
      <c r="E293" s="375">
        <v>0</v>
      </c>
      <c r="F293" s="374">
        <v>187000</v>
      </c>
      <c r="G293" s="375">
        <f t="shared" si="4"/>
        <v>24064306</v>
      </c>
    </row>
    <row r="294" spans="1:7" ht="66" customHeight="1">
      <c r="A294" s="371" t="s">
        <v>486</v>
      </c>
      <c r="B294" s="372">
        <v>2059</v>
      </c>
      <c r="C294" s="373" t="s">
        <v>538</v>
      </c>
      <c r="D294" s="374">
        <v>3867353</v>
      </c>
      <c r="E294" s="375">
        <v>0</v>
      </c>
      <c r="F294" s="374">
        <v>21000</v>
      </c>
      <c r="G294" s="375">
        <f t="shared" si="4"/>
        <v>3846353</v>
      </c>
    </row>
    <row r="295" spans="1:7" ht="53.25" customHeight="1">
      <c r="A295" s="371" t="s">
        <v>486</v>
      </c>
      <c r="B295" s="372">
        <v>2919</v>
      </c>
      <c r="C295" s="373" t="s">
        <v>508</v>
      </c>
      <c r="D295" s="374">
        <v>137738</v>
      </c>
      <c r="E295" s="375">
        <v>0</v>
      </c>
      <c r="F295" s="374">
        <v>80596</v>
      </c>
      <c r="G295" s="375">
        <f t="shared" si="4"/>
        <v>57142</v>
      </c>
    </row>
    <row r="296" spans="1:7" ht="15" customHeight="1">
      <c r="A296" s="371" t="s">
        <v>486</v>
      </c>
      <c r="B296" s="372">
        <v>2959</v>
      </c>
      <c r="C296" s="373" t="s">
        <v>527</v>
      </c>
      <c r="D296" s="374">
        <v>0</v>
      </c>
      <c r="E296" s="375">
        <v>85262</v>
      </c>
      <c r="F296" s="374">
        <v>0</v>
      </c>
      <c r="G296" s="375">
        <f t="shared" si="4"/>
        <v>85262</v>
      </c>
    </row>
    <row r="297" spans="1:7" ht="15" customHeight="1">
      <c r="A297" s="371" t="s">
        <v>486</v>
      </c>
      <c r="B297" s="372">
        <v>4017</v>
      </c>
      <c r="C297" s="373" t="s">
        <v>490</v>
      </c>
      <c r="D297" s="374">
        <v>783647</v>
      </c>
      <c r="E297" s="375">
        <v>0</v>
      </c>
      <c r="F297" s="374">
        <v>200457</v>
      </c>
      <c r="G297" s="375">
        <f t="shared" si="4"/>
        <v>583190</v>
      </c>
    </row>
    <row r="298" spans="1:7" ht="15" customHeight="1">
      <c r="A298" s="371" t="s">
        <v>486</v>
      </c>
      <c r="B298" s="372">
        <v>4019</v>
      </c>
      <c r="C298" s="373" t="s">
        <v>490</v>
      </c>
      <c r="D298" s="374">
        <v>92194</v>
      </c>
      <c r="E298" s="375">
        <v>0</v>
      </c>
      <c r="F298" s="374">
        <v>23584</v>
      </c>
      <c r="G298" s="375">
        <f t="shared" si="4"/>
        <v>68610</v>
      </c>
    </row>
    <row r="299" spans="1:7" ht="15" customHeight="1">
      <c r="A299" s="371" t="s">
        <v>486</v>
      </c>
      <c r="B299" s="372">
        <v>4117</v>
      </c>
      <c r="C299" s="373" t="s">
        <v>492</v>
      </c>
      <c r="D299" s="374">
        <v>134709</v>
      </c>
      <c r="E299" s="375">
        <v>0</v>
      </c>
      <c r="F299" s="374">
        <v>30366</v>
      </c>
      <c r="G299" s="375">
        <f t="shared" si="4"/>
        <v>104343</v>
      </c>
    </row>
    <row r="300" spans="1:7" ht="15" customHeight="1">
      <c r="A300" s="371" t="s">
        <v>486</v>
      </c>
      <c r="B300" s="372">
        <v>4119</v>
      </c>
      <c r="C300" s="373" t="s">
        <v>492</v>
      </c>
      <c r="D300" s="374">
        <v>15848</v>
      </c>
      <c r="E300" s="375">
        <v>0</v>
      </c>
      <c r="F300" s="374">
        <v>3572</v>
      </c>
      <c r="G300" s="375">
        <f t="shared" si="4"/>
        <v>12276</v>
      </c>
    </row>
    <row r="301" spans="1:7" ht="15" customHeight="1">
      <c r="A301" s="371" t="s">
        <v>486</v>
      </c>
      <c r="B301" s="372">
        <v>4127</v>
      </c>
      <c r="C301" s="373" t="s">
        <v>493</v>
      </c>
      <c r="D301" s="374">
        <v>19199</v>
      </c>
      <c r="E301" s="375">
        <v>0</v>
      </c>
      <c r="F301" s="374">
        <v>4249</v>
      </c>
      <c r="G301" s="375">
        <f t="shared" si="4"/>
        <v>14950</v>
      </c>
    </row>
    <row r="302" spans="1:7" ht="15" customHeight="1">
      <c r="A302" s="371" t="s">
        <v>486</v>
      </c>
      <c r="B302" s="372">
        <v>4129</v>
      </c>
      <c r="C302" s="373" t="s">
        <v>493</v>
      </c>
      <c r="D302" s="374">
        <v>2259</v>
      </c>
      <c r="E302" s="375">
        <v>0</v>
      </c>
      <c r="F302" s="374">
        <v>500</v>
      </c>
      <c r="G302" s="375">
        <f t="shared" si="4"/>
        <v>1759</v>
      </c>
    </row>
    <row r="303" spans="1:7" ht="15" customHeight="1">
      <c r="A303" s="371" t="s">
        <v>486</v>
      </c>
      <c r="B303" s="372">
        <v>4177</v>
      </c>
      <c r="C303" s="373" t="s">
        <v>494</v>
      </c>
      <c r="D303" s="374">
        <v>31316</v>
      </c>
      <c r="E303" s="375">
        <v>0</v>
      </c>
      <c r="F303" s="374">
        <v>3418</v>
      </c>
      <c r="G303" s="375">
        <f t="shared" si="4"/>
        <v>27898</v>
      </c>
    </row>
    <row r="304" spans="1:7" ht="15" customHeight="1">
      <c r="A304" s="371" t="s">
        <v>486</v>
      </c>
      <c r="B304" s="372">
        <v>4179</v>
      </c>
      <c r="C304" s="373" t="s">
        <v>494</v>
      </c>
      <c r="D304" s="374">
        <v>3684</v>
      </c>
      <c r="E304" s="375">
        <v>0</v>
      </c>
      <c r="F304" s="374">
        <v>401</v>
      </c>
      <c r="G304" s="375">
        <f t="shared" si="4"/>
        <v>3283</v>
      </c>
    </row>
    <row r="305" spans="1:7" ht="15" customHeight="1">
      <c r="A305" s="371" t="s">
        <v>486</v>
      </c>
      <c r="B305" s="372">
        <v>4217</v>
      </c>
      <c r="C305" s="373" t="s">
        <v>495</v>
      </c>
      <c r="D305" s="374">
        <v>2515086</v>
      </c>
      <c r="E305" s="375">
        <v>0</v>
      </c>
      <c r="F305" s="374">
        <v>2202822</v>
      </c>
      <c r="G305" s="375">
        <f t="shared" si="4"/>
        <v>312264</v>
      </c>
    </row>
    <row r="306" spans="1:7" ht="15" customHeight="1">
      <c r="A306" s="371" t="s">
        <v>486</v>
      </c>
      <c r="B306" s="372">
        <v>4219</v>
      </c>
      <c r="C306" s="373" t="s">
        <v>495</v>
      </c>
      <c r="D306" s="374">
        <v>295893</v>
      </c>
      <c r="E306" s="375">
        <v>0</v>
      </c>
      <c r="F306" s="374">
        <v>259157</v>
      </c>
      <c r="G306" s="375">
        <f t="shared" si="4"/>
        <v>36736</v>
      </c>
    </row>
    <row r="307" spans="1:7" ht="15" customHeight="1">
      <c r="A307" s="371" t="s">
        <v>486</v>
      </c>
      <c r="B307" s="372">
        <v>4267</v>
      </c>
      <c r="C307" s="373" t="s">
        <v>497</v>
      </c>
      <c r="D307" s="374">
        <v>21474</v>
      </c>
      <c r="E307" s="375">
        <v>0</v>
      </c>
      <c r="F307" s="374">
        <v>16106</v>
      </c>
      <c r="G307" s="375">
        <f t="shared" si="4"/>
        <v>5368</v>
      </c>
    </row>
    <row r="308" spans="1:7" ht="15" customHeight="1">
      <c r="A308" s="371" t="s">
        <v>486</v>
      </c>
      <c r="B308" s="372">
        <v>4269</v>
      </c>
      <c r="C308" s="373" t="s">
        <v>497</v>
      </c>
      <c r="D308" s="374">
        <v>2526</v>
      </c>
      <c r="E308" s="375">
        <v>0</v>
      </c>
      <c r="F308" s="374">
        <v>1894</v>
      </c>
      <c r="G308" s="375">
        <f t="shared" si="4"/>
        <v>632</v>
      </c>
    </row>
    <row r="309" spans="1:7" ht="15" customHeight="1">
      <c r="A309" s="371" t="s">
        <v>486</v>
      </c>
      <c r="B309" s="372">
        <v>4307</v>
      </c>
      <c r="C309" s="373" t="s">
        <v>488</v>
      </c>
      <c r="D309" s="374">
        <v>3731054</v>
      </c>
      <c r="E309" s="375">
        <v>0</v>
      </c>
      <c r="F309" s="374">
        <v>3462633</v>
      </c>
      <c r="G309" s="375">
        <f t="shared" si="4"/>
        <v>268421</v>
      </c>
    </row>
    <row r="310" spans="1:7" ht="15" customHeight="1">
      <c r="A310" s="371" t="s">
        <v>486</v>
      </c>
      <c r="B310" s="372">
        <v>4309</v>
      </c>
      <c r="C310" s="373" t="s">
        <v>488</v>
      </c>
      <c r="D310" s="374">
        <v>439946</v>
      </c>
      <c r="E310" s="375">
        <v>0</v>
      </c>
      <c r="F310" s="374">
        <v>408367</v>
      </c>
      <c r="G310" s="375">
        <f t="shared" si="4"/>
        <v>31579</v>
      </c>
    </row>
    <row r="311" spans="1:7" ht="15" customHeight="1">
      <c r="A311" s="371" t="s">
        <v>486</v>
      </c>
      <c r="B311" s="372">
        <v>4367</v>
      </c>
      <c r="C311" s="373" t="s">
        <v>499</v>
      </c>
      <c r="D311" s="374">
        <v>7516</v>
      </c>
      <c r="E311" s="375">
        <v>0</v>
      </c>
      <c r="F311" s="374">
        <v>6174</v>
      </c>
      <c r="G311" s="375">
        <f t="shared" si="4"/>
        <v>1342</v>
      </c>
    </row>
    <row r="312" spans="1:7" ht="15" customHeight="1">
      <c r="A312" s="371" t="s">
        <v>486</v>
      </c>
      <c r="B312" s="372">
        <v>4369</v>
      </c>
      <c r="C312" s="373" t="s">
        <v>499</v>
      </c>
      <c r="D312" s="374">
        <v>884</v>
      </c>
      <c r="E312" s="375">
        <v>0</v>
      </c>
      <c r="F312" s="374">
        <v>726</v>
      </c>
      <c r="G312" s="375">
        <f t="shared" si="4"/>
        <v>158</v>
      </c>
    </row>
    <row r="313" spans="1:7" ht="15" customHeight="1">
      <c r="A313" s="371" t="s">
        <v>486</v>
      </c>
      <c r="B313" s="372">
        <v>4417</v>
      </c>
      <c r="C313" s="373" t="s">
        <v>501</v>
      </c>
      <c r="D313" s="374">
        <v>44737</v>
      </c>
      <c r="E313" s="375">
        <v>0</v>
      </c>
      <c r="F313" s="374">
        <v>42948</v>
      </c>
      <c r="G313" s="375">
        <f t="shared" si="4"/>
        <v>1789</v>
      </c>
    </row>
    <row r="314" spans="1:7" ht="15" customHeight="1">
      <c r="A314" s="371" t="s">
        <v>486</v>
      </c>
      <c r="B314" s="372">
        <v>4419</v>
      </c>
      <c r="C314" s="373" t="s">
        <v>501</v>
      </c>
      <c r="D314" s="374">
        <v>5263</v>
      </c>
      <c r="E314" s="375">
        <v>0</v>
      </c>
      <c r="F314" s="374">
        <v>5052</v>
      </c>
      <c r="G314" s="375">
        <f t="shared" si="4"/>
        <v>211</v>
      </c>
    </row>
    <row r="315" spans="1:7" ht="15" customHeight="1">
      <c r="A315" s="371" t="s">
        <v>486</v>
      </c>
      <c r="B315" s="372">
        <v>4447</v>
      </c>
      <c r="C315" s="373" t="s">
        <v>531</v>
      </c>
      <c r="D315" s="374">
        <v>27737</v>
      </c>
      <c r="E315" s="375">
        <v>0</v>
      </c>
      <c r="F315" s="374">
        <v>13421</v>
      </c>
      <c r="G315" s="375">
        <f t="shared" si="4"/>
        <v>14316</v>
      </c>
    </row>
    <row r="316" spans="1:7" ht="15" customHeight="1">
      <c r="A316" s="371" t="s">
        <v>486</v>
      </c>
      <c r="B316" s="372">
        <v>4449</v>
      </c>
      <c r="C316" s="373" t="s">
        <v>531</v>
      </c>
      <c r="D316" s="374">
        <v>3263</v>
      </c>
      <c r="E316" s="375">
        <v>0</v>
      </c>
      <c r="F316" s="374">
        <v>1579</v>
      </c>
      <c r="G316" s="375">
        <f t="shared" si="4"/>
        <v>1684</v>
      </c>
    </row>
    <row r="317" spans="1:7" ht="15" customHeight="1">
      <c r="A317" s="371" t="s">
        <v>486</v>
      </c>
      <c r="B317" s="372">
        <v>6010</v>
      </c>
      <c r="C317" s="373" t="s">
        <v>511</v>
      </c>
      <c r="D317" s="374">
        <v>0</v>
      </c>
      <c r="E317" s="375">
        <v>900000</v>
      </c>
      <c r="F317" s="374">
        <v>0</v>
      </c>
      <c r="G317" s="375">
        <f t="shared" si="4"/>
        <v>900000</v>
      </c>
    </row>
    <row r="318" spans="1:7" s="387" customFormat="1" ht="15" customHeight="1">
      <c r="A318" s="388" t="s">
        <v>290</v>
      </c>
      <c r="B318" s="389" t="s">
        <v>486</v>
      </c>
      <c r="C318" s="390" t="s">
        <v>291</v>
      </c>
      <c r="D318" s="391">
        <v>57936013</v>
      </c>
      <c r="E318" s="392">
        <f>E319+E327+E333+E339+E345</f>
        <v>72000</v>
      </c>
      <c r="F318" s="392">
        <f>F319+F327+F333+F339+F345</f>
        <v>1925238</v>
      </c>
      <c r="G318" s="392">
        <f t="shared" si="4"/>
        <v>56082775</v>
      </c>
    </row>
    <row r="319" spans="1:7" s="387" customFormat="1" ht="15" customHeight="1">
      <c r="A319" s="388">
        <v>85403</v>
      </c>
      <c r="B319" s="389" t="s">
        <v>486</v>
      </c>
      <c r="C319" s="390" t="s">
        <v>180</v>
      </c>
      <c r="D319" s="391">
        <v>44870550</v>
      </c>
      <c r="E319" s="392">
        <f>SUM(E320:E326)</f>
        <v>49000</v>
      </c>
      <c r="F319" s="392">
        <f>SUM(F320:F326)</f>
        <v>1385615</v>
      </c>
      <c r="G319" s="392">
        <f t="shared" si="4"/>
        <v>43533935</v>
      </c>
    </row>
    <row r="320" spans="1:7" ht="15" customHeight="1">
      <c r="A320" s="552" t="s">
        <v>486</v>
      </c>
      <c r="B320" s="553">
        <v>3020</v>
      </c>
      <c r="C320" s="554" t="s">
        <v>520</v>
      </c>
      <c r="D320" s="555">
        <v>44429</v>
      </c>
      <c r="E320" s="556">
        <v>49000</v>
      </c>
      <c r="F320" s="555">
        <v>0</v>
      </c>
      <c r="G320" s="556">
        <f t="shared" si="4"/>
        <v>93429</v>
      </c>
    </row>
    <row r="321" spans="1:7" ht="15" customHeight="1">
      <c r="A321" s="371" t="s">
        <v>486</v>
      </c>
      <c r="B321" s="372">
        <v>4010</v>
      </c>
      <c r="C321" s="373" t="s">
        <v>490</v>
      </c>
      <c r="D321" s="374">
        <v>12507736</v>
      </c>
      <c r="E321" s="375">
        <v>0</v>
      </c>
      <c r="F321" s="374">
        <v>1009108</v>
      </c>
      <c r="G321" s="375">
        <f t="shared" si="4"/>
        <v>11498628</v>
      </c>
    </row>
    <row r="322" spans="1:7" ht="15" customHeight="1">
      <c r="A322" s="371" t="s">
        <v>486</v>
      </c>
      <c r="B322" s="372">
        <v>4040</v>
      </c>
      <c r="C322" s="373" t="s">
        <v>491</v>
      </c>
      <c r="D322" s="374">
        <v>890832</v>
      </c>
      <c r="E322" s="375">
        <v>0</v>
      </c>
      <c r="F322" s="374">
        <v>16569</v>
      </c>
      <c r="G322" s="375">
        <f t="shared" si="4"/>
        <v>874263</v>
      </c>
    </row>
    <row r="323" spans="1:7" ht="15" customHeight="1">
      <c r="A323" s="371" t="s">
        <v>486</v>
      </c>
      <c r="B323" s="372">
        <v>4110</v>
      </c>
      <c r="C323" s="373" t="s">
        <v>492</v>
      </c>
      <c r="D323" s="374">
        <v>2223134</v>
      </c>
      <c r="E323" s="375">
        <v>0</v>
      </c>
      <c r="F323" s="374">
        <v>180259</v>
      </c>
      <c r="G323" s="375">
        <f t="shared" si="4"/>
        <v>2042875</v>
      </c>
    </row>
    <row r="324" spans="1:7" ht="15" customHeight="1">
      <c r="A324" s="371" t="s">
        <v>486</v>
      </c>
      <c r="B324" s="372">
        <v>4120</v>
      </c>
      <c r="C324" s="373" t="s">
        <v>493</v>
      </c>
      <c r="D324" s="374">
        <v>278865</v>
      </c>
      <c r="E324" s="375">
        <v>0</v>
      </c>
      <c r="F324" s="374">
        <v>62939</v>
      </c>
      <c r="G324" s="375">
        <f t="shared" si="4"/>
        <v>215926</v>
      </c>
    </row>
    <row r="325" spans="1:7" ht="15" customHeight="1">
      <c r="A325" s="371" t="s">
        <v>486</v>
      </c>
      <c r="B325" s="372">
        <v>4220</v>
      </c>
      <c r="C325" s="373" t="s">
        <v>496</v>
      </c>
      <c r="D325" s="374">
        <v>314844</v>
      </c>
      <c r="E325" s="375">
        <v>0</v>
      </c>
      <c r="F325" s="374">
        <v>31740</v>
      </c>
      <c r="G325" s="375">
        <f t="shared" si="4"/>
        <v>283104</v>
      </c>
    </row>
    <row r="326" spans="1:7" ht="15" customHeight="1">
      <c r="A326" s="371" t="s">
        <v>486</v>
      </c>
      <c r="B326" s="372">
        <v>6050</v>
      </c>
      <c r="C326" s="373" t="s">
        <v>509</v>
      </c>
      <c r="D326" s="374">
        <v>11154169</v>
      </c>
      <c r="E326" s="375">
        <v>0</v>
      </c>
      <c r="F326" s="374">
        <v>85000</v>
      </c>
      <c r="G326" s="375">
        <f t="shared" si="4"/>
        <v>11069169</v>
      </c>
    </row>
    <row r="327" spans="1:7" s="387" customFormat="1" ht="15" customHeight="1">
      <c r="A327" s="381">
        <v>85404</v>
      </c>
      <c r="B327" s="382" t="s">
        <v>486</v>
      </c>
      <c r="C327" s="383" t="s">
        <v>181</v>
      </c>
      <c r="D327" s="384">
        <v>1403848</v>
      </c>
      <c r="E327" s="385">
        <f>SUM(E328:E332)</f>
        <v>3000</v>
      </c>
      <c r="F327" s="385">
        <f>SUM(F328:F332)</f>
        <v>180889</v>
      </c>
      <c r="G327" s="385">
        <f t="shared" si="4"/>
        <v>1225959</v>
      </c>
    </row>
    <row r="328" spans="1:7" ht="15" customHeight="1">
      <c r="A328" s="371" t="s">
        <v>486</v>
      </c>
      <c r="B328" s="372">
        <v>3020</v>
      </c>
      <c r="C328" s="373" t="s">
        <v>520</v>
      </c>
      <c r="D328" s="374">
        <v>4805</v>
      </c>
      <c r="E328" s="375">
        <v>3000</v>
      </c>
      <c r="F328" s="374">
        <v>0</v>
      </c>
      <c r="G328" s="375">
        <f t="shared" si="4"/>
        <v>7805</v>
      </c>
    </row>
    <row r="329" spans="1:7" ht="15" customHeight="1">
      <c r="A329" s="371" t="s">
        <v>486</v>
      </c>
      <c r="B329" s="372">
        <v>4010</v>
      </c>
      <c r="C329" s="373" t="s">
        <v>490</v>
      </c>
      <c r="D329" s="374">
        <v>1006760</v>
      </c>
      <c r="E329" s="375">
        <v>0</v>
      </c>
      <c r="F329" s="374">
        <v>130223</v>
      </c>
      <c r="G329" s="375">
        <f t="shared" si="4"/>
        <v>876537</v>
      </c>
    </row>
    <row r="330" spans="1:7" ht="15" customHeight="1">
      <c r="A330" s="371" t="s">
        <v>486</v>
      </c>
      <c r="B330" s="372">
        <v>4040</v>
      </c>
      <c r="C330" s="373" t="s">
        <v>491</v>
      </c>
      <c r="D330" s="374">
        <v>70836</v>
      </c>
      <c r="E330" s="375">
        <v>0</v>
      </c>
      <c r="F330" s="374">
        <v>11500</v>
      </c>
      <c r="G330" s="375">
        <f t="shared" si="4"/>
        <v>59336</v>
      </c>
    </row>
    <row r="331" spans="1:7" ht="15" customHeight="1">
      <c r="A331" s="371" t="s">
        <v>486</v>
      </c>
      <c r="B331" s="372">
        <v>4110</v>
      </c>
      <c r="C331" s="373" t="s">
        <v>492</v>
      </c>
      <c r="D331" s="374">
        <v>189108</v>
      </c>
      <c r="E331" s="375">
        <v>0</v>
      </c>
      <c r="F331" s="374">
        <v>32117</v>
      </c>
      <c r="G331" s="375">
        <f t="shared" si="4"/>
        <v>156991</v>
      </c>
    </row>
    <row r="332" spans="1:7" ht="15" customHeight="1">
      <c r="A332" s="371" t="s">
        <v>486</v>
      </c>
      <c r="B332" s="372">
        <v>4120</v>
      </c>
      <c r="C332" s="373" t="s">
        <v>493</v>
      </c>
      <c r="D332" s="374">
        <v>28154</v>
      </c>
      <c r="E332" s="375">
        <v>0</v>
      </c>
      <c r="F332" s="374">
        <v>7049</v>
      </c>
      <c r="G332" s="375">
        <f t="shared" ref="G332:G395" si="5">D332+E332-F332</f>
        <v>21105</v>
      </c>
    </row>
    <row r="333" spans="1:7" s="387" customFormat="1" ht="15" customHeight="1">
      <c r="A333" s="381">
        <v>85407</v>
      </c>
      <c r="B333" s="382" t="s">
        <v>486</v>
      </c>
      <c r="C333" s="383" t="s">
        <v>182</v>
      </c>
      <c r="D333" s="384">
        <v>4087598</v>
      </c>
      <c r="E333" s="385">
        <f>SUM(E334:E338)</f>
        <v>16500</v>
      </c>
      <c r="F333" s="385">
        <f>SUM(F334:F338)</f>
        <v>205442</v>
      </c>
      <c r="G333" s="385">
        <f t="shared" si="5"/>
        <v>3898656</v>
      </c>
    </row>
    <row r="334" spans="1:7" ht="15" customHeight="1">
      <c r="A334" s="371" t="s">
        <v>486</v>
      </c>
      <c r="B334" s="372">
        <v>3020</v>
      </c>
      <c r="C334" s="373" t="s">
        <v>520</v>
      </c>
      <c r="D334" s="374">
        <v>10863</v>
      </c>
      <c r="E334" s="375">
        <v>16500</v>
      </c>
      <c r="F334" s="374">
        <v>0</v>
      </c>
      <c r="G334" s="375">
        <f t="shared" si="5"/>
        <v>27363</v>
      </c>
    </row>
    <row r="335" spans="1:7" ht="15" customHeight="1">
      <c r="A335" s="371" t="s">
        <v>486</v>
      </c>
      <c r="B335" s="372">
        <v>4010</v>
      </c>
      <c r="C335" s="373" t="s">
        <v>490</v>
      </c>
      <c r="D335" s="374">
        <v>3096597</v>
      </c>
      <c r="E335" s="375">
        <v>0</v>
      </c>
      <c r="F335" s="374">
        <v>147670</v>
      </c>
      <c r="G335" s="375">
        <f t="shared" si="5"/>
        <v>2948927</v>
      </c>
    </row>
    <row r="336" spans="1:7" ht="15" customHeight="1">
      <c r="A336" s="371" t="s">
        <v>486</v>
      </c>
      <c r="B336" s="372">
        <v>4040</v>
      </c>
      <c r="C336" s="373" t="s">
        <v>491</v>
      </c>
      <c r="D336" s="374">
        <v>238071</v>
      </c>
      <c r="E336" s="375">
        <v>0</v>
      </c>
      <c r="F336" s="374">
        <v>15098</v>
      </c>
      <c r="G336" s="375">
        <f t="shared" si="5"/>
        <v>222973</v>
      </c>
    </row>
    <row r="337" spans="1:7" ht="15" customHeight="1">
      <c r="A337" s="371" t="s">
        <v>486</v>
      </c>
      <c r="B337" s="372">
        <v>4110</v>
      </c>
      <c r="C337" s="373" t="s">
        <v>492</v>
      </c>
      <c r="D337" s="374">
        <v>533435</v>
      </c>
      <c r="E337" s="375">
        <v>0</v>
      </c>
      <c r="F337" s="374">
        <v>31351</v>
      </c>
      <c r="G337" s="375">
        <f t="shared" si="5"/>
        <v>502084</v>
      </c>
    </row>
    <row r="338" spans="1:7" ht="15" customHeight="1">
      <c r="A338" s="371" t="s">
        <v>486</v>
      </c>
      <c r="B338" s="372">
        <v>4120</v>
      </c>
      <c r="C338" s="373" t="s">
        <v>493</v>
      </c>
      <c r="D338" s="374">
        <v>54335</v>
      </c>
      <c r="E338" s="375">
        <v>0</v>
      </c>
      <c r="F338" s="374">
        <v>11323</v>
      </c>
      <c r="G338" s="375">
        <f t="shared" si="5"/>
        <v>43012</v>
      </c>
    </row>
    <row r="339" spans="1:7" s="387" customFormat="1" ht="15" customHeight="1">
      <c r="A339" s="381">
        <v>85410</v>
      </c>
      <c r="B339" s="382" t="s">
        <v>486</v>
      </c>
      <c r="C339" s="383" t="s">
        <v>183</v>
      </c>
      <c r="D339" s="384">
        <v>1609356</v>
      </c>
      <c r="E339" s="385">
        <f>SUM(E340:E344)</f>
        <v>3500</v>
      </c>
      <c r="F339" s="385">
        <f>SUM(F340:F344)</f>
        <v>94349</v>
      </c>
      <c r="G339" s="385">
        <f t="shared" si="5"/>
        <v>1518507</v>
      </c>
    </row>
    <row r="340" spans="1:7" ht="15" customHeight="1">
      <c r="A340" s="371" t="s">
        <v>486</v>
      </c>
      <c r="B340" s="372">
        <v>3020</v>
      </c>
      <c r="C340" s="373" t="s">
        <v>520</v>
      </c>
      <c r="D340" s="374">
        <v>2500</v>
      </c>
      <c r="E340" s="375">
        <v>3500</v>
      </c>
      <c r="F340" s="374">
        <v>0</v>
      </c>
      <c r="G340" s="375">
        <f t="shared" si="5"/>
        <v>6000</v>
      </c>
    </row>
    <row r="341" spans="1:7" ht="15" customHeight="1">
      <c r="A341" s="371" t="s">
        <v>486</v>
      </c>
      <c r="B341" s="372">
        <v>4010</v>
      </c>
      <c r="C341" s="373" t="s">
        <v>490</v>
      </c>
      <c r="D341" s="374">
        <v>988333</v>
      </c>
      <c r="E341" s="375">
        <v>0</v>
      </c>
      <c r="F341" s="374">
        <v>71566</v>
      </c>
      <c r="G341" s="375">
        <f t="shared" si="5"/>
        <v>916767</v>
      </c>
    </row>
    <row r="342" spans="1:7" ht="15" customHeight="1">
      <c r="A342" s="371" t="s">
        <v>486</v>
      </c>
      <c r="B342" s="372">
        <v>4040</v>
      </c>
      <c r="C342" s="373" t="s">
        <v>491</v>
      </c>
      <c r="D342" s="374">
        <v>70762</v>
      </c>
      <c r="E342" s="375">
        <v>0</v>
      </c>
      <c r="F342" s="374">
        <v>793</v>
      </c>
      <c r="G342" s="375">
        <f t="shared" si="5"/>
        <v>69969</v>
      </c>
    </row>
    <row r="343" spans="1:7" ht="15" customHeight="1">
      <c r="A343" s="371" t="s">
        <v>486</v>
      </c>
      <c r="B343" s="372">
        <v>4110</v>
      </c>
      <c r="C343" s="373" t="s">
        <v>492</v>
      </c>
      <c r="D343" s="374">
        <v>180380</v>
      </c>
      <c r="E343" s="375">
        <v>0</v>
      </c>
      <c r="F343" s="374">
        <v>19459</v>
      </c>
      <c r="G343" s="375">
        <f t="shared" si="5"/>
        <v>160921</v>
      </c>
    </row>
    <row r="344" spans="1:7" ht="15" customHeight="1">
      <c r="A344" s="371" t="s">
        <v>486</v>
      </c>
      <c r="B344" s="372">
        <v>4120</v>
      </c>
      <c r="C344" s="373" t="s">
        <v>493</v>
      </c>
      <c r="D344" s="374">
        <v>21531</v>
      </c>
      <c r="E344" s="375">
        <v>0</v>
      </c>
      <c r="F344" s="374">
        <v>2531</v>
      </c>
      <c r="G344" s="375">
        <f t="shared" si="5"/>
        <v>19000</v>
      </c>
    </row>
    <row r="345" spans="1:7" s="387" customFormat="1" ht="15" customHeight="1">
      <c r="A345" s="381">
        <v>85446</v>
      </c>
      <c r="B345" s="382" t="s">
        <v>486</v>
      </c>
      <c r="C345" s="383" t="s">
        <v>149</v>
      </c>
      <c r="D345" s="384">
        <v>91170</v>
      </c>
      <c r="E345" s="385">
        <f>SUM(E346:E347)</f>
        <v>0</v>
      </c>
      <c r="F345" s="385">
        <f>SUM(F346:F347)</f>
        <v>58943</v>
      </c>
      <c r="G345" s="385">
        <f t="shared" si="5"/>
        <v>32227</v>
      </c>
    </row>
    <row r="346" spans="1:7" ht="15" customHeight="1">
      <c r="A346" s="371" t="s">
        <v>486</v>
      </c>
      <c r="B346" s="372">
        <v>4300</v>
      </c>
      <c r="C346" s="373" t="s">
        <v>488</v>
      </c>
      <c r="D346" s="374">
        <v>67018</v>
      </c>
      <c r="E346" s="375">
        <v>0</v>
      </c>
      <c r="F346" s="374">
        <v>45358</v>
      </c>
      <c r="G346" s="375">
        <f t="shared" si="5"/>
        <v>21660</v>
      </c>
    </row>
    <row r="347" spans="1:7" ht="28.9" customHeight="1">
      <c r="A347" s="371" t="s">
        <v>486</v>
      </c>
      <c r="B347" s="372">
        <v>4700</v>
      </c>
      <c r="C347" s="373" t="s">
        <v>504</v>
      </c>
      <c r="D347" s="374">
        <v>23852</v>
      </c>
      <c r="E347" s="375">
        <v>0</v>
      </c>
      <c r="F347" s="374">
        <v>13585</v>
      </c>
      <c r="G347" s="375">
        <f t="shared" si="5"/>
        <v>10267</v>
      </c>
    </row>
    <row r="348" spans="1:7" s="387" customFormat="1" ht="15" customHeight="1">
      <c r="A348" s="388" t="s">
        <v>449</v>
      </c>
      <c r="B348" s="389" t="s">
        <v>486</v>
      </c>
      <c r="C348" s="390" t="s">
        <v>186</v>
      </c>
      <c r="D348" s="391">
        <v>7885489</v>
      </c>
      <c r="E348" s="392">
        <f>E349</f>
        <v>0</v>
      </c>
      <c r="F348" s="392">
        <f>F349</f>
        <v>135790</v>
      </c>
      <c r="G348" s="392">
        <f t="shared" si="5"/>
        <v>7749699</v>
      </c>
    </row>
    <row r="349" spans="1:7" s="387" customFormat="1" ht="15" customHeight="1">
      <c r="A349" s="393">
        <v>85595</v>
      </c>
      <c r="B349" s="394" t="s">
        <v>486</v>
      </c>
      <c r="C349" s="395" t="s">
        <v>37</v>
      </c>
      <c r="D349" s="396">
        <v>4814209</v>
      </c>
      <c r="E349" s="386">
        <f>SUM(E350:E354)</f>
        <v>0</v>
      </c>
      <c r="F349" s="386">
        <f>SUM(F350:F354)</f>
        <v>135790</v>
      </c>
      <c r="G349" s="386">
        <f t="shared" si="5"/>
        <v>4678419</v>
      </c>
    </row>
    <row r="350" spans="1:7" ht="54" customHeight="1">
      <c r="A350" s="371" t="s">
        <v>486</v>
      </c>
      <c r="B350" s="372">
        <v>2360</v>
      </c>
      <c r="C350" s="373" t="s">
        <v>515</v>
      </c>
      <c r="D350" s="374">
        <v>950055</v>
      </c>
      <c r="E350" s="375">
        <v>0</v>
      </c>
      <c r="F350" s="374">
        <v>45790</v>
      </c>
      <c r="G350" s="375">
        <f t="shared" si="5"/>
        <v>904265</v>
      </c>
    </row>
    <row r="351" spans="1:7" ht="15" customHeight="1">
      <c r="A351" s="371" t="s">
        <v>486</v>
      </c>
      <c r="B351" s="372">
        <v>4170</v>
      </c>
      <c r="C351" s="373" t="s">
        <v>494</v>
      </c>
      <c r="D351" s="374">
        <v>2000</v>
      </c>
      <c r="E351" s="375">
        <v>0</v>
      </c>
      <c r="F351" s="374">
        <v>2000</v>
      </c>
      <c r="G351" s="375">
        <f t="shared" si="5"/>
        <v>0</v>
      </c>
    </row>
    <row r="352" spans="1:7" ht="15" customHeight="1">
      <c r="A352" s="371" t="s">
        <v>486</v>
      </c>
      <c r="B352" s="372">
        <v>4190</v>
      </c>
      <c r="C352" s="373" t="s">
        <v>487</v>
      </c>
      <c r="D352" s="374">
        <v>4000</v>
      </c>
      <c r="E352" s="375">
        <v>0</v>
      </c>
      <c r="F352" s="374">
        <v>4000</v>
      </c>
      <c r="G352" s="375">
        <f t="shared" si="5"/>
        <v>0</v>
      </c>
    </row>
    <row r="353" spans="1:7" ht="15" customHeight="1">
      <c r="A353" s="371" t="s">
        <v>486</v>
      </c>
      <c r="B353" s="372">
        <v>4210</v>
      </c>
      <c r="C353" s="373" t="s">
        <v>495</v>
      </c>
      <c r="D353" s="374">
        <v>1400</v>
      </c>
      <c r="E353" s="375">
        <v>0</v>
      </c>
      <c r="F353" s="374">
        <v>900</v>
      </c>
      <c r="G353" s="375">
        <f t="shared" si="5"/>
        <v>500</v>
      </c>
    </row>
    <row r="354" spans="1:7" ht="15" customHeight="1">
      <c r="A354" s="371" t="s">
        <v>486</v>
      </c>
      <c r="B354" s="372">
        <v>4300</v>
      </c>
      <c r="C354" s="373" t="s">
        <v>488</v>
      </c>
      <c r="D354" s="374">
        <v>150111</v>
      </c>
      <c r="E354" s="375">
        <v>0</v>
      </c>
      <c r="F354" s="374">
        <v>83100</v>
      </c>
      <c r="G354" s="375">
        <f t="shared" si="5"/>
        <v>67011</v>
      </c>
    </row>
    <row r="355" spans="1:7" s="387" customFormat="1" ht="28.9" customHeight="1">
      <c r="A355" s="388" t="s">
        <v>388</v>
      </c>
      <c r="B355" s="389" t="s">
        <v>486</v>
      </c>
      <c r="C355" s="390" t="s">
        <v>188</v>
      </c>
      <c r="D355" s="391">
        <v>12518210</v>
      </c>
      <c r="E355" s="392">
        <f>E356+E358+E360+E367</f>
        <v>187305</v>
      </c>
      <c r="F355" s="392">
        <f>F356+F358+F360+F367</f>
        <v>3602043</v>
      </c>
      <c r="G355" s="392">
        <f t="shared" si="5"/>
        <v>9103472</v>
      </c>
    </row>
    <row r="356" spans="1:7" s="387" customFormat="1" ht="15" customHeight="1">
      <c r="A356" s="381">
        <v>90001</v>
      </c>
      <c r="B356" s="382" t="s">
        <v>486</v>
      </c>
      <c r="C356" s="383" t="s">
        <v>189</v>
      </c>
      <c r="D356" s="384">
        <v>60878</v>
      </c>
      <c r="E356" s="385">
        <f>E357</f>
        <v>0</v>
      </c>
      <c r="F356" s="385">
        <f>F357</f>
        <v>36790</v>
      </c>
      <c r="G356" s="385">
        <f t="shared" si="5"/>
        <v>24088</v>
      </c>
    </row>
    <row r="357" spans="1:7" ht="66" customHeight="1">
      <c r="A357" s="371" t="s">
        <v>486</v>
      </c>
      <c r="B357" s="372">
        <v>6259</v>
      </c>
      <c r="C357" s="373" t="s">
        <v>521</v>
      </c>
      <c r="D357" s="374">
        <v>60878</v>
      </c>
      <c r="E357" s="375">
        <v>0</v>
      </c>
      <c r="F357" s="374">
        <v>36790</v>
      </c>
      <c r="G357" s="375">
        <f t="shared" si="5"/>
        <v>24088</v>
      </c>
    </row>
    <row r="358" spans="1:7" s="387" customFormat="1" ht="15" customHeight="1">
      <c r="A358" s="381">
        <v>90005</v>
      </c>
      <c r="B358" s="382" t="s">
        <v>486</v>
      </c>
      <c r="C358" s="383" t="s">
        <v>191</v>
      </c>
      <c r="D358" s="384">
        <v>313413</v>
      </c>
      <c r="E358" s="385">
        <f>E359</f>
        <v>0</v>
      </c>
      <c r="F358" s="385">
        <f>F359</f>
        <v>8710</v>
      </c>
      <c r="G358" s="385">
        <f t="shared" si="5"/>
        <v>304703</v>
      </c>
    </row>
    <row r="359" spans="1:7" ht="42" customHeight="1">
      <c r="A359" s="371" t="s">
        <v>486</v>
      </c>
      <c r="B359" s="372">
        <v>6300</v>
      </c>
      <c r="C359" s="373" t="s">
        <v>532</v>
      </c>
      <c r="D359" s="374">
        <v>18413</v>
      </c>
      <c r="E359" s="375">
        <v>0</v>
      </c>
      <c r="F359" s="374">
        <v>8710</v>
      </c>
      <c r="G359" s="375">
        <f t="shared" si="5"/>
        <v>9703</v>
      </c>
    </row>
    <row r="360" spans="1:7" s="387" customFormat="1" ht="15" customHeight="1">
      <c r="A360" s="381">
        <v>90026</v>
      </c>
      <c r="B360" s="382" t="s">
        <v>486</v>
      </c>
      <c r="C360" s="383" t="s">
        <v>196</v>
      </c>
      <c r="D360" s="384">
        <v>500300</v>
      </c>
      <c r="E360" s="385">
        <f>SUM(E361:E366)</f>
        <v>4000</v>
      </c>
      <c r="F360" s="385">
        <f>SUM(F361:F366)</f>
        <v>54000</v>
      </c>
      <c r="G360" s="385">
        <f t="shared" si="5"/>
        <v>450300</v>
      </c>
    </row>
    <row r="361" spans="1:7" ht="15" customHeight="1">
      <c r="A361" s="371" t="s">
        <v>486</v>
      </c>
      <c r="B361" s="372">
        <v>4010</v>
      </c>
      <c r="C361" s="373" t="s">
        <v>490</v>
      </c>
      <c r="D361" s="374">
        <v>85200</v>
      </c>
      <c r="E361" s="375">
        <v>0</v>
      </c>
      <c r="F361" s="374">
        <v>34938</v>
      </c>
      <c r="G361" s="375">
        <f t="shared" si="5"/>
        <v>50262</v>
      </c>
    </row>
    <row r="362" spans="1:7" ht="15" customHeight="1">
      <c r="A362" s="371" t="s">
        <v>486</v>
      </c>
      <c r="B362" s="372">
        <v>4110</v>
      </c>
      <c r="C362" s="373" t="s">
        <v>492</v>
      </c>
      <c r="D362" s="374">
        <v>14646</v>
      </c>
      <c r="E362" s="375">
        <v>0</v>
      </c>
      <c r="F362" s="374">
        <v>6006</v>
      </c>
      <c r="G362" s="375">
        <f t="shared" si="5"/>
        <v>8640</v>
      </c>
    </row>
    <row r="363" spans="1:7" ht="15" customHeight="1">
      <c r="A363" s="371" t="s">
        <v>486</v>
      </c>
      <c r="B363" s="372">
        <v>4120</v>
      </c>
      <c r="C363" s="373" t="s">
        <v>493</v>
      </c>
      <c r="D363" s="374">
        <v>2087</v>
      </c>
      <c r="E363" s="375">
        <v>0</v>
      </c>
      <c r="F363" s="374">
        <v>856</v>
      </c>
      <c r="G363" s="375">
        <f t="shared" si="5"/>
        <v>1231</v>
      </c>
    </row>
    <row r="364" spans="1:7" ht="15" customHeight="1">
      <c r="A364" s="371" t="s">
        <v>486</v>
      </c>
      <c r="B364" s="372">
        <v>4210</v>
      </c>
      <c r="C364" s="373" t="s">
        <v>495</v>
      </c>
      <c r="D364" s="374">
        <v>8300</v>
      </c>
      <c r="E364" s="375">
        <v>0</v>
      </c>
      <c r="F364" s="374">
        <v>6200</v>
      </c>
      <c r="G364" s="375">
        <f t="shared" si="5"/>
        <v>2100</v>
      </c>
    </row>
    <row r="365" spans="1:7" ht="15" customHeight="1">
      <c r="A365" s="371" t="s">
        <v>486</v>
      </c>
      <c r="B365" s="372">
        <v>4300</v>
      </c>
      <c r="C365" s="373" t="s">
        <v>488</v>
      </c>
      <c r="D365" s="374">
        <v>81009</v>
      </c>
      <c r="E365" s="375">
        <v>4000</v>
      </c>
      <c r="F365" s="374">
        <v>0</v>
      </c>
      <c r="G365" s="375">
        <f t="shared" si="5"/>
        <v>85009</v>
      </c>
    </row>
    <row r="366" spans="1:7" ht="28.9" customHeight="1">
      <c r="A366" s="371" t="s">
        <v>486</v>
      </c>
      <c r="B366" s="372">
        <v>4700</v>
      </c>
      <c r="C366" s="373" t="s">
        <v>504</v>
      </c>
      <c r="D366" s="374">
        <v>6000</v>
      </c>
      <c r="E366" s="375">
        <v>0</v>
      </c>
      <c r="F366" s="374">
        <v>6000</v>
      </c>
      <c r="G366" s="375">
        <f t="shared" si="5"/>
        <v>0</v>
      </c>
    </row>
    <row r="367" spans="1:7" s="387" customFormat="1" ht="15" customHeight="1">
      <c r="A367" s="381">
        <v>90095</v>
      </c>
      <c r="B367" s="382" t="s">
        <v>486</v>
      </c>
      <c r="C367" s="383" t="s">
        <v>37</v>
      </c>
      <c r="D367" s="384">
        <v>10500610</v>
      </c>
      <c r="E367" s="385">
        <f>SUM(E368:E372)</f>
        <v>183305</v>
      </c>
      <c r="F367" s="385">
        <f>SUM(F368:F372)</f>
        <v>3502543</v>
      </c>
      <c r="G367" s="385">
        <f t="shared" si="5"/>
        <v>7181372</v>
      </c>
    </row>
    <row r="368" spans="1:7" ht="66" customHeight="1">
      <c r="A368" s="371" t="s">
        <v>486</v>
      </c>
      <c r="B368" s="372">
        <v>2059</v>
      </c>
      <c r="C368" s="373" t="s">
        <v>538</v>
      </c>
      <c r="D368" s="374">
        <v>16039</v>
      </c>
      <c r="E368" s="375">
        <v>0</v>
      </c>
      <c r="F368" s="374">
        <v>7255</v>
      </c>
      <c r="G368" s="375">
        <f t="shared" si="5"/>
        <v>8784</v>
      </c>
    </row>
    <row r="369" spans="1:7" ht="15" customHeight="1">
      <c r="A369" s="376" t="s">
        <v>486</v>
      </c>
      <c r="B369" s="377">
        <v>4300</v>
      </c>
      <c r="C369" s="378" t="s">
        <v>488</v>
      </c>
      <c r="D369" s="379">
        <v>283936</v>
      </c>
      <c r="E369" s="380">
        <v>0</v>
      </c>
      <c r="F369" s="379">
        <v>97080</v>
      </c>
      <c r="G369" s="380">
        <f t="shared" si="5"/>
        <v>186856</v>
      </c>
    </row>
    <row r="370" spans="1:7" ht="66.75" customHeight="1">
      <c r="A370" s="552" t="s">
        <v>486</v>
      </c>
      <c r="B370" s="553">
        <v>6209</v>
      </c>
      <c r="C370" s="554" t="s">
        <v>522</v>
      </c>
      <c r="D370" s="555">
        <v>47341</v>
      </c>
      <c r="E370" s="556">
        <v>174595</v>
      </c>
      <c r="F370" s="555">
        <v>0</v>
      </c>
      <c r="G370" s="556">
        <f t="shared" si="5"/>
        <v>221936</v>
      </c>
    </row>
    <row r="371" spans="1:7" ht="66.75" customHeight="1">
      <c r="A371" s="371" t="s">
        <v>486</v>
      </c>
      <c r="B371" s="372">
        <v>6259</v>
      </c>
      <c r="C371" s="373" t="s">
        <v>521</v>
      </c>
      <c r="D371" s="374">
        <v>4768115</v>
      </c>
      <c r="E371" s="375">
        <v>0</v>
      </c>
      <c r="F371" s="374">
        <v>3398208</v>
      </c>
      <c r="G371" s="375">
        <f t="shared" si="5"/>
        <v>1369907</v>
      </c>
    </row>
    <row r="372" spans="1:7" ht="42" customHeight="1">
      <c r="A372" s="371" t="s">
        <v>486</v>
      </c>
      <c r="B372" s="372">
        <v>6300</v>
      </c>
      <c r="C372" s="373" t="s">
        <v>532</v>
      </c>
      <c r="D372" s="374">
        <v>0</v>
      </c>
      <c r="E372" s="375">
        <v>8710</v>
      </c>
      <c r="F372" s="374">
        <v>0</v>
      </c>
      <c r="G372" s="375">
        <f t="shared" si="5"/>
        <v>8710</v>
      </c>
    </row>
    <row r="373" spans="1:7" s="387" customFormat="1" ht="28.9" customHeight="1">
      <c r="A373" s="388" t="s">
        <v>300</v>
      </c>
      <c r="B373" s="389" t="s">
        <v>486</v>
      </c>
      <c r="C373" s="390" t="s">
        <v>197</v>
      </c>
      <c r="D373" s="391">
        <v>153578923</v>
      </c>
      <c r="E373" s="392">
        <f>E374+E377+E379+E382+E384+E386+E388+E391</f>
        <v>1876033</v>
      </c>
      <c r="F373" s="392">
        <f>F374+F377+F379+F382+F384+F386+F388+F391</f>
        <v>21771955</v>
      </c>
      <c r="G373" s="392">
        <f t="shared" si="5"/>
        <v>133683001</v>
      </c>
    </row>
    <row r="374" spans="1:7" s="387" customFormat="1" ht="15" customHeight="1">
      <c r="A374" s="381">
        <v>92106</v>
      </c>
      <c r="B374" s="382" t="s">
        <v>486</v>
      </c>
      <c r="C374" s="383" t="s">
        <v>533</v>
      </c>
      <c r="D374" s="384">
        <v>41375038</v>
      </c>
      <c r="E374" s="385">
        <f>SUM(E375:E376)</f>
        <v>1145342</v>
      </c>
      <c r="F374" s="385">
        <f>SUM(F375:F376)</f>
        <v>0</v>
      </c>
      <c r="G374" s="385">
        <f t="shared" si="5"/>
        <v>42520380</v>
      </c>
    </row>
    <row r="375" spans="1:7" ht="28.9" customHeight="1">
      <c r="A375" s="371" t="s">
        <v>486</v>
      </c>
      <c r="B375" s="372">
        <v>2480</v>
      </c>
      <c r="C375" s="373" t="s">
        <v>534</v>
      </c>
      <c r="D375" s="374">
        <v>30050000</v>
      </c>
      <c r="E375" s="375">
        <v>286688</v>
      </c>
      <c r="F375" s="374">
        <v>0</v>
      </c>
      <c r="G375" s="375">
        <f t="shared" si="5"/>
        <v>30336688</v>
      </c>
    </row>
    <row r="376" spans="1:7" ht="43.15" customHeight="1">
      <c r="A376" s="371" t="s">
        <v>486</v>
      </c>
      <c r="B376" s="372">
        <v>6220</v>
      </c>
      <c r="C376" s="373" t="s">
        <v>523</v>
      </c>
      <c r="D376" s="374">
        <v>11267678</v>
      </c>
      <c r="E376" s="375">
        <v>858654</v>
      </c>
      <c r="F376" s="374">
        <v>0</v>
      </c>
      <c r="G376" s="375">
        <f t="shared" si="5"/>
        <v>12126332</v>
      </c>
    </row>
    <row r="377" spans="1:7" s="387" customFormat="1" ht="15" customHeight="1">
      <c r="A377" s="381">
        <v>92108</v>
      </c>
      <c r="B377" s="382" t="s">
        <v>486</v>
      </c>
      <c r="C377" s="383" t="s">
        <v>200</v>
      </c>
      <c r="D377" s="384">
        <v>10690570</v>
      </c>
      <c r="E377" s="385">
        <f>E378</f>
        <v>99300</v>
      </c>
      <c r="F377" s="385">
        <f>F378</f>
        <v>0</v>
      </c>
      <c r="G377" s="385">
        <f t="shared" si="5"/>
        <v>10789870</v>
      </c>
    </row>
    <row r="378" spans="1:7" ht="28.9" customHeight="1">
      <c r="A378" s="371" t="s">
        <v>486</v>
      </c>
      <c r="B378" s="372">
        <v>2480</v>
      </c>
      <c r="C378" s="373" t="s">
        <v>534</v>
      </c>
      <c r="D378" s="374">
        <v>9934500</v>
      </c>
      <c r="E378" s="375">
        <v>99300</v>
      </c>
      <c r="F378" s="374">
        <v>0</v>
      </c>
      <c r="G378" s="375">
        <f t="shared" si="5"/>
        <v>10033800</v>
      </c>
    </row>
    <row r="379" spans="1:7" s="387" customFormat="1" ht="15" customHeight="1">
      <c r="A379" s="381">
        <v>92109</v>
      </c>
      <c r="B379" s="382" t="s">
        <v>486</v>
      </c>
      <c r="C379" s="383" t="s">
        <v>201</v>
      </c>
      <c r="D379" s="384">
        <v>7387202</v>
      </c>
      <c r="E379" s="385">
        <f>SUM(E380:E381)</f>
        <v>362375</v>
      </c>
      <c r="F379" s="385">
        <f>SUM(F380:F381)</f>
        <v>0</v>
      </c>
      <c r="G379" s="385">
        <f t="shared" si="5"/>
        <v>7749577</v>
      </c>
    </row>
    <row r="380" spans="1:7" ht="28.9" customHeight="1">
      <c r="A380" s="371" t="s">
        <v>486</v>
      </c>
      <c r="B380" s="372">
        <v>2480</v>
      </c>
      <c r="C380" s="373" t="s">
        <v>534</v>
      </c>
      <c r="D380" s="374">
        <v>7032542</v>
      </c>
      <c r="E380" s="375">
        <v>119375</v>
      </c>
      <c r="F380" s="374">
        <v>0</v>
      </c>
      <c r="G380" s="375">
        <f t="shared" si="5"/>
        <v>7151917</v>
      </c>
    </row>
    <row r="381" spans="1:7" ht="43.9" customHeight="1">
      <c r="A381" s="371" t="s">
        <v>486</v>
      </c>
      <c r="B381" s="372">
        <v>6220</v>
      </c>
      <c r="C381" s="373" t="s">
        <v>523</v>
      </c>
      <c r="D381" s="374">
        <v>254760</v>
      </c>
      <c r="E381" s="375">
        <v>243000</v>
      </c>
      <c r="F381" s="374">
        <v>0</v>
      </c>
      <c r="G381" s="375">
        <f t="shared" si="5"/>
        <v>497760</v>
      </c>
    </row>
    <row r="382" spans="1:7" s="387" customFormat="1" ht="15" customHeight="1">
      <c r="A382" s="381">
        <v>92110</v>
      </c>
      <c r="B382" s="382" t="s">
        <v>486</v>
      </c>
      <c r="C382" s="383" t="s">
        <v>202</v>
      </c>
      <c r="D382" s="384">
        <v>2454300</v>
      </c>
      <c r="E382" s="385">
        <f>E383</f>
        <v>32107</v>
      </c>
      <c r="F382" s="385">
        <f>F383</f>
        <v>0</v>
      </c>
      <c r="G382" s="385">
        <f t="shared" si="5"/>
        <v>2486407</v>
      </c>
    </row>
    <row r="383" spans="1:7" ht="27.75" customHeight="1">
      <c r="A383" s="371" t="s">
        <v>486</v>
      </c>
      <c r="B383" s="372">
        <v>2480</v>
      </c>
      <c r="C383" s="373" t="s">
        <v>534</v>
      </c>
      <c r="D383" s="374">
        <v>2454300</v>
      </c>
      <c r="E383" s="375">
        <v>32107</v>
      </c>
      <c r="F383" s="374">
        <v>0</v>
      </c>
      <c r="G383" s="375">
        <f t="shared" si="5"/>
        <v>2486407</v>
      </c>
    </row>
    <row r="384" spans="1:7" s="387" customFormat="1" ht="15" customHeight="1">
      <c r="A384" s="381">
        <v>92116</v>
      </c>
      <c r="B384" s="382" t="s">
        <v>486</v>
      </c>
      <c r="C384" s="383" t="s">
        <v>204</v>
      </c>
      <c r="D384" s="384">
        <v>22199581</v>
      </c>
      <c r="E384" s="385">
        <f>E385</f>
        <v>199396</v>
      </c>
      <c r="F384" s="385">
        <f>F385</f>
        <v>0</v>
      </c>
      <c r="G384" s="385">
        <f t="shared" si="5"/>
        <v>22398977</v>
      </c>
    </row>
    <row r="385" spans="1:7" ht="28.9" customHeight="1">
      <c r="A385" s="371" t="s">
        <v>486</v>
      </c>
      <c r="B385" s="372">
        <v>2480</v>
      </c>
      <c r="C385" s="373" t="s">
        <v>534</v>
      </c>
      <c r="D385" s="374">
        <v>21427300</v>
      </c>
      <c r="E385" s="375">
        <v>199396</v>
      </c>
      <c r="F385" s="374">
        <v>0</v>
      </c>
      <c r="G385" s="375">
        <f t="shared" si="5"/>
        <v>21626696</v>
      </c>
    </row>
    <row r="386" spans="1:7" s="387" customFormat="1" ht="15" customHeight="1">
      <c r="A386" s="381">
        <v>92118</v>
      </c>
      <c r="B386" s="382" t="s">
        <v>486</v>
      </c>
      <c r="C386" s="383" t="s">
        <v>205</v>
      </c>
      <c r="D386" s="384">
        <v>16850205</v>
      </c>
      <c r="E386" s="385">
        <f>E387</f>
        <v>37513</v>
      </c>
      <c r="F386" s="385">
        <f>F387</f>
        <v>0</v>
      </c>
      <c r="G386" s="385">
        <f t="shared" si="5"/>
        <v>16887718</v>
      </c>
    </row>
    <row r="387" spans="1:7" ht="28.9" customHeight="1">
      <c r="A387" s="371" t="s">
        <v>486</v>
      </c>
      <c r="B387" s="372">
        <v>2480</v>
      </c>
      <c r="C387" s="373" t="s">
        <v>534</v>
      </c>
      <c r="D387" s="374">
        <v>15606909</v>
      </c>
      <c r="E387" s="375">
        <v>37513</v>
      </c>
      <c r="F387" s="374">
        <v>0</v>
      </c>
      <c r="G387" s="375">
        <f t="shared" si="5"/>
        <v>15644422</v>
      </c>
    </row>
    <row r="388" spans="1:7" s="387" customFormat="1" ht="15" customHeight="1">
      <c r="A388" s="381">
        <v>92120</v>
      </c>
      <c r="B388" s="382" t="s">
        <v>486</v>
      </c>
      <c r="C388" s="383" t="s">
        <v>206</v>
      </c>
      <c r="D388" s="384">
        <v>12134179</v>
      </c>
      <c r="E388" s="385">
        <f>SUM(E389:E390)</f>
        <v>0</v>
      </c>
      <c r="F388" s="385">
        <f>SUM(F389:F390)</f>
        <v>470648</v>
      </c>
      <c r="G388" s="385">
        <f t="shared" si="5"/>
        <v>11663531</v>
      </c>
    </row>
    <row r="389" spans="1:7" ht="55.15" customHeight="1">
      <c r="A389" s="371" t="s">
        <v>486</v>
      </c>
      <c r="B389" s="372">
        <v>2727</v>
      </c>
      <c r="C389" s="373" t="s">
        <v>535</v>
      </c>
      <c r="D389" s="374">
        <v>8471043</v>
      </c>
      <c r="E389" s="375">
        <v>0</v>
      </c>
      <c r="F389" s="374">
        <v>402438</v>
      </c>
      <c r="G389" s="375">
        <f t="shared" si="5"/>
        <v>8068605</v>
      </c>
    </row>
    <row r="390" spans="1:7" ht="55.15" customHeight="1">
      <c r="A390" s="371" t="s">
        <v>486</v>
      </c>
      <c r="B390" s="372">
        <v>2729</v>
      </c>
      <c r="C390" s="373" t="s">
        <v>535</v>
      </c>
      <c r="D390" s="374">
        <v>1565090</v>
      </c>
      <c r="E390" s="375">
        <v>0</v>
      </c>
      <c r="F390" s="374">
        <v>68210</v>
      </c>
      <c r="G390" s="375">
        <f t="shared" si="5"/>
        <v>1496880</v>
      </c>
    </row>
    <row r="391" spans="1:7" s="387" customFormat="1" ht="15" customHeight="1">
      <c r="A391" s="381">
        <v>92195</v>
      </c>
      <c r="B391" s="382" t="s">
        <v>486</v>
      </c>
      <c r="C391" s="383" t="s">
        <v>37</v>
      </c>
      <c r="D391" s="384">
        <v>38958348</v>
      </c>
      <c r="E391" s="385">
        <f>SUM(E392:E402)</f>
        <v>0</v>
      </c>
      <c r="F391" s="385">
        <f>SUM(F392:F402)</f>
        <v>21301307</v>
      </c>
      <c r="G391" s="385">
        <f t="shared" si="5"/>
        <v>17657041</v>
      </c>
    </row>
    <row r="392" spans="1:7" ht="66" customHeight="1">
      <c r="A392" s="371" t="s">
        <v>486</v>
      </c>
      <c r="B392" s="372">
        <v>2007</v>
      </c>
      <c r="C392" s="373" t="s">
        <v>506</v>
      </c>
      <c r="D392" s="374">
        <v>4502794</v>
      </c>
      <c r="E392" s="375">
        <v>0</v>
      </c>
      <c r="F392" s="374">
        <v>867529</v>
      </c>
      <c r="G392" s="375">
        <f t="shared" si="5"/>
        <v>3635265</v>
      </c>
    </row>
    <row r="393" spans="1:7" ht="54" customHeight="1">
      <c r="A393" s="371" t="s">
        <v>486</v>
      </c>
      <c r="B393" s="372">
        <v>2360</v>
      </c>
      <c r="C393" s="373" t="s">
        <v>515</v>
      </c>
      <c r="D393" s="374">
        <v>1100000</v>
      </c>
      <c r="E393" s="375">
        <v>0</v>
      </c>
      <c r="F393" s="374">
        <v>227605</v>
      </c>
      <c r="G393" s="375">
        <f t="shared" si="5"/>
        <v>872395</v>
      </c>
    </row>
    <row r="394" spans="1:7" ht="39.75" customHeight="1">
      <c r="A394" s="371" t="s">
        <v>486</v>
      </c>
      <c r="B394" s="372">
        <v>2710</v>
      </c>
      <c r="C394" s="373" t="s">
        <v>536</v>
      </c>
      <c r="D394" s="374">
        <v>160000</v>
      </c>
      <c r="E394" s="375">
        <v>0</v>
      </c>
      <c r="F394" s="374">
        <v>55000</v>
      </c>
      <c r="G394" s="375">
        <f t="shared" si="5"/>
        <v>105000</v>
      </c>
    </row>
    <row r="395" spans="1:7" ht="28.9" customHeight="1">
      <c r="A395" s="371" t="s">
        <v>486</v>
      </c>
      <c r="B395" s="372">
        <v>2800</v>
      </c>
      <c r="C395" s="373" t="s">
        <v>525</v>
      </c>
      <c r="D395" s="374">
        <v>620000</v>
      </c>
      <c r="E395" s="375">
        <v>0</v>
      </c>
      <c r="F395" s="374">
        <v>44455</v>
      </c>
      <c r="G395" s="375">
        <f t="shared" si="5"/>
        <v>575545</v>
      </c>
    </row>
    <row r="396" spans="1:7" ht="28.9" customHeight="1">
      <c r="A396" s="371" t="s">
        <v>486</v>
      </c>
      <c r="B396" s="372">
        <v>3040</v>
      </c>
      <c r="C396" s="373" t="s">
        <v>516</v>
      </c>
      <c r="D396" s="374">
        <v>300000</v>
      </c>
      <c r="E396" s="375">
        <v>0</v>
      </c>
      <c r="F396" s="374">
        <v>26000</v>
      </c>
      <c r="G396" s="375">
        <f t="shared" ref="G396:G410" si="6">D396+E396-F396</f>
        <v>274000</v>
      </c>
    </row>
    <row r="397" spans="1:7" ht="15" customHeight="1">
      <c r="A397" s="371" t="s">
        <v>486</v>
      </c>
      <c r="B397" s="372">
        <v>4190</v>
      </c>
      <c r="C397" s="373" t="s">
        <v>487</v>
      </c>
      <c r="D397" s="374">
        <v>97156</v>
      </c>
      <c r="E397" s="375">
        <v>0</v>
      </c>
      <c r="F397" s="374">
        <v>12500</v>
      </c>
      <c r="G397" s="375">
        <f t="shared" si="6"/>
        <v>84656</v>
      </c>
    </row>
    <row r="398" spans="1:7" ht="15" customHeight="1">
      <c r="A398" s="371" t="s">
        <v>486</v>
      </c>
      <c r="B398" s="372">
        <v>4210</v>
      </c>
      <c r="C398" s="373" t="s">
        <v>495</v>
      </c>
      <c r="D398" s="374">
        <v>23500</v>
      </c>
      <c r="E398" s="375">
        <v>0</v>
      </c>
      <c r="F398" s="374">
        <v>15612</v>
      </c>
      <c r="G398" s="375">
        <f t="shared" si="6"/>
        <v>7888</v>
      </c>
    </row>
    <row r="399" spans="1:7" ht="15" customHeight="1">
      <c r="A399" s="371" t="s">
        <v>486</v>
      </c>
      <c r="B399" s="372">
        <v>4300</v>
      </c>
      <c r="C399" s="373" t="s">
        <v>488</v>
      </c>
      <c r="D399" s="374">
        <v>3738359</v>
      </c>
      <c r="E399" s="375">
        <v>0</v>
      </c>
      <c r="F399" s="374">
        <v>702225</v>
      </c>
      <c r="G399" s="375">
        <f t="shared" si="6"/>
        <v>3036134</v>
      </c>
    </row>
    <row r="400" spans="1:7" ht="15" customHeight="1">
      <c r="A400" s="376" t="s">
        <v>486</v>
      </c>
      <c r="B400" s="377">
        <v>6050</v>
      </c>
      <c r="C400" s="378" t="s">
        <v>509</v>
      </c>
      <c r="D400" s="379">
        <v>10820895</v>
      </c>
      <c r="E400" s="380">
        <v>0</v>
      </c>
      <c r="F400" s="379">
        <v>9115189</v>
      </c>
      <c r="G400" s="380">
        <f t="shared" si="6"/>
        <v>1705706</v>
      </c>
    </row>
    <row r="401" spans="1:7" ht="15" customHeight="1">
      <c r="A401" s="552" t="s">
        <v>486</v>
      </c>
      <c r="B401" s="553">
        <v>6057</v>
      </c>
      <c r="C401" s="554" t="s">
        <v>509</v>
      </c>
      <c r="D401" s="555">
        <v>14205301</v>
      </c>
      <c r="E401" s="556">
        <v>0</v>
      </c>
      <c r="F401" s="555">
        <v>8960179</v>
      </c>
      <c r="G401" s="556">
        <f t="shared" si="6"/>
        <v>5245122</v>
      </c>
    </row>
    <row r="402" spans="1:7" ht="15" customHeight="1">
      <c r="A402" s="371" t="s">
        <v>486</v>
      </c>
      <c r="B402" s="372">
        <v>6059</v>
      </c>
      <c r="C402" s="373" t="s">
        <v>509</v>
      </c>
      <c r="D402" s="374">
        <v>2359258</v>
      </c>
      <c r="E402" s="375">
        <v>0</v>
      </c>
      <c r="F402" s="374">
        <v>1275013</v>
      </c>
      <c r="G402" s="375">
        <f t="shared" si="6"/>
        <v>1084245</v>
      </c>
    </row>
    <row r="403" spans="1:7" s="387" customFormat="1" ht="42" customHeight="1">
      <c r="A403" s="388" t="s">
        <v>335</v>
      </c>
      <c r="B403" s="389" t="s">
        <v>486</v>
      </c>
      <c r="C403" s="390" t="s">
        <v>207</v>
      </c>
      <c r="D403" s="391">
        <v>13678640</v>
      </c>
      <c r="E403" s="392">
        <f>E404</f>
        <v>73771</v>
      </c>
      <c r="F403" s="392">
        <f>F404</f>
        <v>0</v>
      </c>
      <c r="G403" s="392">
        <f t="shared" si="6"/>
        <v>13752411</v>
      </c>
    </row>
    <row r="404" spans="1:7" s="387" customFormat="1" ht="15" customHeight="1">
      <c r="A404" s="381">
        <v>92502</v>
      </c>
      <c r="B404" s="382" t="s">
        <v>486</v>
      </c>
      <c r="C404" s="383" t="s">
        <v>208</v>
      </c>
      <c r="D404" s="384">
        <v>13678640</v>
      </c>
      <c r="E404" s="385">
        <f>SUM(E405:E410)</f>
        <v>73771</v>
      </c>
      <c r="F404" s="385">
        <f>SUM(F405:F410)</f>
        <v>0</v>
      </c>
      <c r="G404" s="385">
        <f t="shared" si="6"/>
        <v>13752411</v>
      </c>
    </row>
    <row r="405" spans="1:7" ht="15" customHeight="1">
      <c r="A405" s="371" t="s">
        <v>486</v>
      </c>
      <c r="B405" s="372">
        <v>4010</v>
      </c>
      <c r="C405" s="373" t="s">
        <v>490</v>
      </c>
      <c r="D405" s="374">
        <v>2664668</v>
      </c>
      <c r="E405" s="375">
        <v>34768</v>
      </c>
      <c r="F405" s="374">
        <v>0</v>
      </c>
      <c r="G405" s="375">
        <f t="shared" si="6"/>
        <v>2699436</v>
      </c>
    </row>
    <row r="406" spans="1:7" ht="15" customHeight="1">
      <c r="A406" s="371" t="s">
        <v>486</v>
      </c>
      <c r="B406" s="372">
        <v>4110</v>
      </c>
      <c r="C406" s="373" t="s">
        <v>492</v>
      </c>
      <c r="D406" s="374">
        <v>503938</v>
      </c>
      <c r="E406" s="375">
        <v>1446</v>
      </c>
      <c r="F406" s="374">
        <v>0</v>
      </c>
      <c r="G406" s="375">
        <f t="shared" si="6"/>
        <v>505384</v>
      </c>
    </row>
    <row r="407" spans="1:7" ht="15" customHeight="1">
      <c r="A407" s="371" t="s">
        <v>486</v>
      </c>
      <c r="B407" s="372">
        <v>4120</v>
      </c>
      <c r="C407" s="373" t="s">
        <v>493</v>
      </c>
      <c r="D407" s="374">
        <v>64207</v>
      </c>
      <c r="E407" s="375">
        <v>205</v>
      </c>
      <c r="F407" s="374">
        <v>0</v>
      </c>
      <c r="G407" s="375">
        <f t="shared" si="6"/>
        <v>64412</v>
      </c>
    </row>
    <row r="408" spans="1:7" ht="15" customHeight="1">
      <c r="A408" s="371" t="s">
        <v>486</v>
      </c>
      <c r="B408" s="372">
        <v>4210</v>
      </c>
      <c r="C408" s="373" t="s">
        <v>495</v>
      </c>
      <c r="D408" s="374">
        <v>440914</v>
      </c>
      <c r="E408" s="375">
        <v>24752</v>
      </c>
      <c r="F408" s="374">
        <v>0</v>
      </c>
      <c r="G408" s="375">
        <f t="shared" si="6"/>
        <v>465666</v>
      </c>
    </row>
    <row r="409" spans="1:7" ht="15" customHeight="1">
      <c r="A409" s="371" t="s">
        <v>486</v>
      </c>
      <c r="B409" s="372">
        <v>4270</v>
      </c>
      <c r="C409" s="373" t="s">
        <v>498</v>
      </c>
      <c r="D409" s="374">
        <v>68480</v>
      </c>
      <c r="E409" s="375">
        <v>2000</v>
      </c>
      <c r="F409" s="374">
        <v>0</v>
      </c>
      <c r="G409" s="375">
        <f t="shared" si="6"/>
        <v>70480</v>
      </c>
    </row>
    <row r="410" spans="1:7" ht="15" customHeight="1">
      <c r="A410" s="376" t="s">
        <v>486</v>
      </c>
      <c r="B410" s="377">
        <v>4300</v>
      </c>
      <c r="C410" s="378" t="s">
        <v>488</v>
      </c>
      <c r="D410" s="379">
        <v>456411</v>
      </c>
      <c r="E410" s="380">
        <v>10600</v>
      </c>
      <c r="F410" s="379">
        <v>0</v>
      </c>
      <c r="G410" s="380">
        <f t="shared" si="6"/>
        <v>467011</v>
      </c>
    </row>
  </sheetData>
  <sheetProtection password="C25B" sheet="1" selectLockedCells="1" selectUnlockedCell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51181102362204722" footer="0.51181102362204722"/>
  <pageSetup paperSize="9" scale="73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view="pageBreakPreview" topLeftCell="A54" zoomScaleSheetLayoutView="100" workbookViewId="0">
      <selection sqref="A1:F59"/>
    </sheetView>
  </sheetViews>
  <sheetFormatPr defaultColWidth="16.75" defaultRowHeight="12.75"/>
  <cols>
    <col min="1" max="1" width="5.75" style="562" customWidth="1"/>
    <col min="2" max="2" width="5.875" style="562" customWidth="1"/>
    <col min="3" max="3" width="47.125" style="562" customWidth="1"/>
    <col min="4" max="4" width="15" style="679" customWidth="1"/>
    <col min="5" max="5" width="14.375" style="562" customWidth="1"/>
    <col min="6" max="6" width="16.875" style="562" customWidth="1"/>
    <col min="7" max="250" width="10.375" style="562" customWidth="1"/>
    <col min="251" max="251" width="5.75" style="562" customWidth="1"/>
    <col min="252" max="252" width="5.875" style="562" customWidth="1"/>
    <col min="253" max="253" width="34.125" style="562" customWidth="1"/>
    <col min="254" max="254" width="16.25" style="562" customWidth="1"/>
    <col min="255" max="16384" width="16.75" style="562"/>
  </cols>
  <sheetData>
    <row r="1" spans="1:6" ht="15" customHeight="1">
      <c r="D1" s="563"/>
      <c r="E1" s="564" t="s">
        <v>635</v>
      </c>
      <c r="F1" s="563"/>
    </row>
    <row r="2" spans="1:6" ht="15" customHeight="1">
      <c r="D2" s="565"/>
      <c r="E2" s="564" t="s">
        <v>636</v>
      </c>
      <c r="F2" s="565"/>
    </row>
    <row r="3" spans="1:6" ht="15" customHeight="1">
      <c r="A3" s="566"/>
      <c r="B3" s="566"/>
      <c r="C3" s="566"/>
      <c r="D3" s="565"/>
      <c r="E3" s="504" t="s">
        <v>697</v>
      </c>
      <c r="F3" s="565"/>
    </row>
    <row r="4" spans="1:6" ht="15" customHeight="1">
      <c r="A4" s="566"/>
      <c r="B4" s="566"/>
      <c r="C4" s="566"/>
      <c r="D4" s="565"/>
      <c r="E4" s="567"/>
      <c r="F4" s="567"/>
    </row>
    <row r="5" spans="1:6" s="568" customFormat="1" ht="29.25" customHeight="1">
      <c r="A5" s="1083" t="s">
        <v>637</v>
      </c>
      <c r="B5" s="1083"/>
      <c r="C5" s="1083"/>
      <c r="D5" s="1083"/>
      <c r="E5" s="1083"/>
      <c r="F5" s="1083"/>
    </row>
    <row r="6" spans="1:6" s="568" customFormat="1" ht="7.5" customHeight="1">
      <c r="A6" s="1084"/>
      <c r="B6" s="1084"/>
      <c r="C6" s="1084"/>
      <c r="D6" s="569"/>
    </row>
    <row r="7" spans="1:6" s="570" customFormat="1" ht="18.75" customHeight="1">
      <c r="A7" s="1085" t="s">
        <v>638</v>
      </c>
      <c r="B7" s="1085" t="s">
        <v>217</v>
      </c>
      <c r="C7" s="1085" t="s">
        <v>416</v>
      </c>
      <c r="D7" s="1085" t="s">
        <v>588</v>
      </c>
      <c r="E7" s="1086" t="s">
        <v>639</v>
      </c>
      <c r="F7" s="1087" t="s">
        <v>590</v>
      </c>
    </row>
    <row r="8" spans="1:6" s="571" customFormat="1" ht="19.5" customHeight="1">
      <c r="A8" s="1085"/>
      <c r="B8" s="1085"/>
      <c r="C8" s="1085"/>
      <c r="D8" s="1085"/>
      <c r="E8" s="1086"/>
      <c r="F8" s="1087"/>
    </row>
    <row r="9" spans="1:6" s="575" customFormat="1">
      <c r="A9" s="572">
        <v>1</v>
      </c>
      <c r="B9" s="572">
        <v>2</v>
      </c>
      <c r="C9" s="572">
        <v>3</v>
      </c>
      <c r="D9" s="572">
        <v>4</v>
      </c>
      <c r="E9" s="573">
        <v>5</v>
      </c>
      <c r="F9" s="574">
        <v>6</v>
      </c>
    </row>
    <row r="10" spans="1:6" s="575" customFormat="1" ht="15" customHeight="1">
      <c r="A10" s="576"/>
      <c r="B10" s="576"/>
      <c r="C10" s="576"/>
      <c r="D10" s="576"/>
      <c r="E10" s="577"/>
      <c r="F10" s="578"/>
    </row>
    <row r="11" spans="1:6" s="583" customFormat="1" ht="21.95" customHeight="1">
      <c r="A11" s="579">
        <v>1</v>
      </c>
      <c r="B11" s="579"/>
      <c r="C11" s="580" t="s">
        <v>640</v>
      </c>
      <c r="D11" s="581">
        <f>D13+D12</f>
        <v>1231165801.3699999</v>
      </c>
      <c r="E11" s="581">
        <f>E13+E12</f>
        <v>-104429661.28999999</v>
      </c>
      <c r="F11" s="582">
        <f>F12+F13</f>
        <v>1126736140.0799999</v>
      </c>
    </row>
    <row r="12" spans="1:6" s="588" customFormat="1" ht="21.95" customHeight="1">
      <c r="A12" s="584" t="s">
        <v>641</v>
      </c>
      <c r="B12" s="584"/>
      <c r="C12" s="585" t="s">
        <v>642</v>
      </c>
      <c r="D12" s="586">
        <v>971803495.37</v>
      </c>
      <c r="E12" s="586">
        <v>-27486695.289999999</v>
      </c>
      <c r="F12" s="587">
        <f>D12+E12</f>
        <v>944316800.08000004</v>
      </c>
    </row>
    <row r="13" spans="1:6" s="588" customFormat="1" ht="21.95" customHeight="1">
      <c r="A13" s="584" t="s">
        <v>643</v>
      </c>
      <c r="B13" s="584"/>
      <c r="C13" s="585" t="s">
        <v>644</v>
      </c>
      <c r="D13" s="586">
        <v>259362306</v>
      </c>
      <c r="E13" s="586">
        <v>-76942966</v>
      </c>
      <c r="F13" s="587">
        <f>D13+E13</f>
        <v>182419340</v>
      </c>
    </row>
    <row r="14" spans="1:6" s="583" customFormat="1" ht="21.95" customHeight="1">
      <c r="A14" s="579">
        <v>2</v>
      </c>
      <c r="B14" s="579"/>
      <c r="C14" s="580" t="s">
        <v>645</v>
      </c>
      <c r="D14" s="581">
        <f>D15+D18+D19</f>
        <v>134980952</v>
      </c>
      <c r="E14" s="581">
        <f>E15+E18+E19</f>
        <v>1209297</v>
      </c>
      <c r="F14" s="582">
        <f>F15+F18+F19</f>
        <v>136190249</v>
      </c>
    </row>
    <row r="15" spans="1:6" s="594" customFormat="1" ht="21.95" customHeight="1">
      <c r="A15" s="589" t="s">
        <v>646</v>
      </c>
      <c r="B15" s="589">
        <v>952</v>
      </c>
      <c r="C15" s="590" t="s">
        <v>647</v>
      </c>
      <c r="D15" s="591">
        <f>D16+D17</f>
        <v>134980952</v>
      </c>
      <c r="E15" s="592">
        <f>E16+E17</f>
        <v>0</v>
      </c>
      <c r="F15" s="593">
        <f>F16+F17</f>
        <v>134980952</v>
      </c>
    </row>
    <row r="16" spans="1:6" s="575" customFormat="1" ht="23.25" customHeight="1">
      <c r="A16" s="572" t="s">
        <v>648</v>
      </c>
      <c r="B16" s="572"/>
      <c r="C16" s="595" t="s">
        <v>649</v>
      </c>
      <c r="D16" s="596">
        <v>53580952</v>
      </c>
      <c r="E16" s="597">
        <v>0</v>
      </c>
      <c r="F16" s="598">
        <f>D16+E16</f>
        <v>53580952</v>
      </c>
    </row>
    <row r="17" spans="1:6" s="575" customFormat="1" ht="23.25" customHeight="1">
      <c r="A17" s="572" t="s">
        <v>650</v>
      </c>
      <c r="B17" s="572"/>
      <c r="C17" s="595" t="s">
        <v>651</v>
      </c>
      <c r="D17" s="596">
        <v>81400000</v>
      </c>
      <c r="E17" s="596">
        <v>0</v>
      </c>
      <c r="F17" s="599">
        <f>D17+E17</f>
        <v>81400000</v>
      </c>
    </row>
    <row r="18" spans="1:6" s="605" customFormat="1" ht="6" hidden="1" customHeight="1">
      <c r="A18" s="600" t="s">
        <v>652</v>
      </c>
      <c r="B18" s="600">
        <v>950</v>
      </c>
      <c r="C18" s="601" t="s">
        <v>653</v>
      </c>
      <c r="D18" s="602">
        <v>0</v>
      </c>
      <c r="E18" s="603">
        <v>0</v>
      </c>
      <c r="F18" s="604">
        <f>D18+E18</f>
        <v>0</v>
      </c>
    </row>
    <row r="19" spans="1:6" s="605" customFormat="1" ht="27.75" customHeight="1">
      <c r="A19" s="606" t="s">
        <v>652</v>
      </c>
      <c r="B19" s="607"/>
      <c r="C19" s="608" t="s">
        <v>654</v>
      </c>
      <c r="D19" s="602">
        <f>D20+D21</f>
        <v>0</v>
      </c>
      <c r="E19" s="602">
        <f>E20+E21</f>
        <v>1209297</v>
      </c>
      <c r="F19" s="602">
        <f>F20+F21</f>
        <v>1209297</v>
      </c>
    </row>
    <row r="20" spans="1:6" s="612" customFormat="1" ht="44.25" customHeight="1">
      <c r="A20" s="609" t="s">
        <v>655</v>
      </c>
      <c r="B20" s="610">
        <v>905</v>
      </c>
      <c r="C20" s="611" t="s">
        <v>656</v>
      </c>
      <c r="D20" s="596">
        <v>0</v>
      </c>
      <c r="E20" s="597">
        <v>715000</v>
      </c>
      <c r="F20" s="598">
        <f>D20+E20</f>
        <v>715000</v>
      </c>
    </row>
    <row r="21" spans="1:6" s="612" customFormat="1" ht="43.5" customHeight="1">
      <c r="A21" s="572" t="s">
        <v>657</v>
      </c>
      <c r="B21" s="610">
        <v>906</v>
      </c>
      <c r="C21" s="611" t="s">
        <v>658</v>
      </c>
      <c r="D21" s="596">
        <v>0</v>
      </c>
      <c r="E21" s="597">
        <v>494297</v>
      </c>
      <c r="F21" s="598">
        <f>D21+E21</f>
        <v>494297</v>
      </c>
    </row>
    <row r="22" spans="1:6" s="618" customFormat="1" ht="21.95" customHeight="1">
      <c r="A22" s="613">
        <v>3</v>
      </c>
      <c r="B22" s="613"/>
      <c r="C22" s="614" t="s">
        <v>659</v>
      </c>
      <c r="D22" s="615">
        <f>D11+D14</f>
        <v>1366146753.3699999</v>
      </c>
      <c r="E22" s="616">
        <f>E11+E14</f>
        <v>-103220364.28999999</v>
      </c>
      <c r="F22" s="617">
        <f>F11+F14</f>
        <v>1262926389.0799999</v>
      </c>
    </row>
    <row r="23" spans="1:6" ht="15" customHeight="1">
      <c r="A23" s="619"/>
      <c r="B23" s="620"/>
      <c r="C23" s="621"/>
      <c r="D23" s="622"/>
      <c r="E23" s="623"/>
      <c r="F23" s="624"/>
    </row>
    <row r="24" spans="1:6" s="627" customFormat="1" ht="21.95" customHeight="1">
      <c r="A24" s="625">
        <v>4</v>
      </c>
      <c r="B24" s="625"/>
      <c r="C24" s="626" t="s">
        <v>660</v>
      </c>
      <c r="D24" s="581">
        <f>D25+D28</f>
        <v>1312565801.3699999</v>
      </c>
      <c r="E24" s="581">
        <f>E25+E28</f>
        <v>-103220364.28999999</v>
      </c>
      <c r="F24" s="582">
        <f>F25+F28</f>
        <v>1209345437.0799999</v>
      </c>
    </row>
    <row r="25" spans="1:6" s="588" customFormat="1" ht="21.95" customHeight="1">
      <c r="A25" s="584" t="s">
        <v>661</v>
      </c>
      <c r="B25" s="584"/>
      <c r="C25" s="585" t="s">
        <v>662</v>
      </c>
      <c r="D25" s="586">
        <f>D26+D27</f>
        <v>838439061.37</v>
      </c>
      <c r="E25" s="586">
        <f>E26+E27</f>
        <v>-53279151.289999999</v>
      </c>
      <c r="F25" s="587">
        <f>F26+F27</f>
        <v>785159910.08000004</v>
      </c>
    </row>
    <row r="26" spans="1:6" s="575" customFormat="1" ht="21.75" customHeight="1">
      <c r="A26" s="572" t="s">
        <v>663</v>
      </c>
      <c r="B26" s="572"/>
      <c r="C26" s="595" t="s">
        <v>664</v>
      </c>
      <c r="D26" s="596">
        <v>816542827.37</v>
      </c>
      <c r="E26" s="596">
        <v>-35918387.289999999</v>
      </c>
      <c r="F26" s="599">
        <f>D26+E26</f>
        <v>780624440.08000004</v>
      </c>
    </row>
    <row r="27" spans="1:6" s="575" customFormat="1" ht="21.75" customHeight="1">
      <c r="A27" s="572" t="s">
        <v>665</v>
      </c>
      <c r="B27" s="572"/>
      <c r="C27" s="595" t="s">
        <v>666</v>
      </c>
      <c r="D27" s="596">
        <v>21896234</v>
      </c>
      <c r="E27" s="596">
        <v>-17360764</v>
      </c>
      <c r="F27" s="599">
        <f>D27+E27</f>
        <v>4535470</v>
      </c>
    </row>
    <row r="28" spans="1:6" s="588" customFormat="1" ht="21.95" customHeight="1">
      <c r="A28" s="584" t="s">
        <v>667</v>
      </c>
      <c r="B28" s="584"/>
      <c r="C28" s="585" t="s">
        <v>668</v>
      </c>
      <c r="D28" s="586">
        <v>474126740</v>
      </c>
      <c r="E28" s="586">
        <v>-49941213</v>
      </c>
      <c r="F28" s="587">
        <f>D28+E28</f>
        <v>424185527</v>
      </c>
    </row>
    <row r="29" spans="1:6" s="583" customFormat="1" ht="21.95" customHeight="1">
      <c r="A29" s="579">
        <v>5</v>
      </c>
      <c r="B29" s="579"/>
      <c r="C29" s="580" t="s">
        <v>669</v>
      </c>
      <c r="D29" s="581">
        <f>D30</f>
        <v>53580952</v>
      </c>
      <c r="E29" s="628">
        <f>E30</f>
        <v>0</v>
      </c>
      <c r="F29" s="629">
        <f>F30</f>
        <v>53580952</v>
      </c>
    </row>
    <row r="30" spans="1:6" ht="21.95" customHeight="1">
      <c r="A30" s="630" t="s">
        <v>670</v>
      </c>
      <c r="B30" s="630">
        <v>992</v>
      </c>
      <c r="C30" s="631" t="s">
        <v>671</v>
      </c>
      <c r="D30" s="602">
        <v>53580952</v>
      </c>
      <c r="E30" s="603">
        <v>0</v>
      </c>
      <c r="F30" s="604">
        <f>D30+E30</f>
        <v>53580952</v>
      </c>
    </row>
    <row r="31" spans="1:6" s="618" customFormat="1" ht="21.95" customHeight="1">
      <c r="A31" s="613">
        <v>6</v>
      </c>
      <c r="B31" s="613"/>
      <c r="C31" s="614" t="s">
        <v>672</v>
      </c>
      <c r="D31" s="615">
        <f>D24+D29</f>
        <v>1366146753.3699999</v>
      </c>
      <c r="E31" s="616">
        <f>E24+E29</f>
        <v>-103220364.28999999</v>
      </c>
      <c r="F31" s="617">
        <f>F24+F29</f>
        <v>1262926389.0799999</v>
      </c>
    </row>
    <row r="32" spans="1:6" s="618" customFormat="1" ht="15" customHeight="1">
      <c r="A32" s="632"/>
      <c r="B32" s="633"/>
      <c r="C32" s="634"/>
      <c r="D32" s="635"/>
      <c r="E32" s="616"/>
      <c r="F32" s="617"/>
    </row>
    <row r="33" spans="1:6" s="583" customFormat="1" ht="21.95" customHeight="1">
      <c r="A33" s="579">
        <v>7</v>
      </c>
      <c r="B33" s="579"/>
      <c r="C33" s="580" t="s">
        <v>673</v>
      </c>
      <c r="D33" s="615">
        <f>D22-D31</f>
        <v>0</v>
      </c>
      <c r="E33" s="616">
        <f>E22-E31</f>
        <v>0</v>
      </c>
      <c r="F33" s="617">
        <f>F22-F31</f>
        <v>0</v>
      </c>
    </row>
    <row r="34" spans="1:6" s="583" customFormat="1" ht="15" customHeight="1">
      <c r="A34" s="579"/>
      <c r="B34" s="579"/>
      <c r="C34" s="580"/>
      <c r="D34" s="636"/>
      <c r="E34" s="623"/>
      <c r="F34" s="624"/>
    </row>
    <row r="35" spans="1:6" s="583" customFormat="1" ht="21.95" customHeight="1">
      <c r="A35" s="579">
        <v>8</v>
      </c>
      <c r="B35" s="579"/>
      <c r="C35" s="580" t="s">
        <v>674</v>
      </c>
      <c r="D35" s="581">
        <f>D11-D24</f>
        <v>-81400000</v>
      </c>
      <c r="E35" s="628">
        <f>E11-E24</f>
        <v>-1209297</v>
      </c>
      <c r="F35" s="629">
        <f>F11-F24</f>
        <v>-82609297</v>
      </c>
    </row>
    <row r="36" spans="1:6" s="583" customFormat="1" ht="15" customHeight="1">
      <c r="A36" s="637"/>
      <c r="B36" s="637"/>
      <c r="C36" s="638"/>
      <c r="D36" s="639"/>
      <c r="E36" s="623"/>
      <c r="F36" s="624"/>
    </row>
    <row r="37" spans="1:6" s="583" customFormat="1" ht="21.95" customHeight="1">
      <c r="A37" s="579">
        <v>9</v>
      </c>
      <c r="B37" s="579"/>
      <c r="C37" s="580" t="s">
        <v>675</v>
      </c>
      <c r="D37" s="617">
        <f>D38+D39</f>
        <v>81400000</v>
      </c>
      <c r="E37" s="617">
        <f>E38+E39</f>
        <v>1209297</v>
      </c>
      <c r="F37" s="617">
        <f>F38+F39</f>
        <v>82609297</v>
      </c>
    </row>
    <row r="38" spans="1:6" s="640" customFormat="1" ht="21.95" customHeight="1">
      <c r="A38" s="600" t="s">
        <v>676</v>
      </c>
      <c r="B38" s="600"/>
      <c r="C38" s="601" t="s">
        <v>677</v>
      </c>
      <c r="D38" s="602">
        <f>D17</f>
        <v>81400000</v>
      </c>
      <c r="E38" s="603">
        <f>E17</f>
        <v>0</v>
      </c>
      <c r="F38" s="604">
        <f>D38+E38</f>
        <v>81400000</v>
      </c>
    </row>
    <row r="39" spans="1:6" s="640" customFormat="1" ht="33" customHeight="1">
      <c r="A39" s="641" t="s">
        <v>678</v>
      </c>
      <c r="B39" s="600"/>
      <c r="C39" s="608" t="s">
        <v>654</v>
      </c>
      <c r="D39" s="602">
        <f>D40+D41</f>
        <v>0</v>
      </c>
      <c r="E39" s="602">
        <f>E40+E41</f>
        <v>1209297</v>
      </c>
      <c r="F39" s="602">
        <f>F40+F41</f>
        <v>1209297</v>
      </c>
    </row>
    <row r="40" spans="1:6" s="575" customFormat="1" ht="43.5" customHeight="1">
      <c r="A40" s="642" t="s">
        <v>679</v>
      </c>
      <c r="B40" s="572"/>
      <c r="C40" s="643" t="s">
        <v>656</v>
      </c>
      <c r="D40" s="596">
        <f t="shared" ref="D40:F41" si="0">D20</f>
        <v>0</v>
      </c>
      <c r="E40" s="596">
        <f t="shared" si="0"/>
        <v>715000</v>
      </c>
      <c r="F40" s="596">
        <f t="shared" si="0"/>
        <v>715000</v>
      </c>
    </row>
    <row r="41" spans="1:6" s="575" customFormat="1" ht="43.5" customHeight="1">
      <c r="A41" s="642" t="s">
        <v>680</v>
      </c>
      <c r="B41" s="572"/>
      <c r="C41" s="644" t="s">
        <v>681</v>
      </c>
      <c r="D41" s="596">
        <f t="shared" si="0"/>
        <v>0</v>
      </c>
      <c r="E41" s="596">
        <f t="shared" si="0"/>
        <v>494297</v>
      </c>
      <c r="F41" s="596">
        <f t="shared" si="0"/>
        <v>494297</v>
      </c>
    </row>
    <row r="42" spans="1:6" ht="21.95" hidden="1" customHeight="1">
      <c r="A42" s="645" t="s">
        <v>682</v>
      </c>
      <c r="B42" s="646"/>
      <c r="C42" s="647" t="s">
        <v>653</v>
      </c>
      <c r="D42" s="648">
        <v>0</v>
      </c>
      <c r="E42" s="649"/>
      <c r="F42" s="649"/>
    </row>
    <row r="43" spans="1:6" ht="5.25" customHeight="1">
      <c r="A43" s="650"/>
      <c r="B43" s="651"/>
      <c r="C43" s="652"/>
      <c r="D43" s="653"/>
      <c r="E43" s="649"/>
      <c r="F43" s="654"/>
    </row>
    <row r="44" spans="1:6" s="618" customFormat="1" ht="14.25" customHeight="1">
      <c r="A44" s="1088" t="s">
        <v>683</v>
      </c>
      <c r="B44" s="1089"/>
      <c r="C44" s="1090"/>
      <c r="D44" s="655"/>
      <c r="E44" s="656"/>
      <c r="F44" s="657"/>
    </row>
    <row r="45" spans="1:6" ht="15" customHeight="1">
      <c r="A45" s="1091" t="s">
        <v>684</v>
      </c>
      <c r="B45" s="1092"/>
      <c r="C45" s="1093"/>
      <c r="D45" s="658">
        <f>D12</f>
        <v>971803495.37</v>
      </c>
      <c r="E45" s="654">
        <f>E12</f>
        <v>-27486695.289999999</v>
      </c>
      <c r="F45" s="654">
        <f>F12</f>
        <v>944316800.08000004</v>
      </c>
    </row>
    <row r="46" spans="1:6" ht="15" customHeight="1">
      <c r="A46" s="1091" t="s">
        <v>685</v>
      </c>
      <c r="B46" s="1092"/>
      <c r="C46" s="1093"/>
      <c r="D46" s="658">
        <f>D25</f>
        <v>838439061.37</v>
      </c>
      <c r="E46" s="654">
        <f>E25</f>
        <v>-53279151.289999999</v>
      </c>
      <c r="F46" s="654">
        <f>F25</f>
        <v>785159910.08000004</v>
      </c>
    </row>
    <row r="47" spans="1:6" s="618" customFormat="1" ht="16.5" customHeight="1">
      <c r="A47" s="1094" t="s">
        <v>686</v>
      </c>
      <c r="B47" s="1095"/>
      <c r="C47" s="1096"/>
      <c r="D47" s="655">
        <f>D45-D46</f>
        <v>133364434</v>
      </c>
      <c r="E47" s="656">
        <f>E45-E46</f>
        <v>25792456</v>
      </c>
      <c r="F47" s="657">
        <f>F45-F46</f>
        <v>159156890</v>
      </c>
    </row>
    <row r="48" spans="1:6" s="618" customFormat="1" ht="9.75" customHeight="1">
      <c r="A48" s="659"/>
      <c r="B48" s="660"/>
      <c r="C48" s="660"/>
      <c r="D48" s="661"/>
      <c r="E48" s="662"/>
      <c r="F48" s="663"/>
    </row>
    <row r="49" spans="1:6" s="570" customFormat="1" ht="6" customHeight="1">
      <c r="A49" s="664"/>
      <c r="B49" s="665"/>
      <c r="C49" s="665"/>
      <c r="D49" s="666"/>
      <c r="E49" s="667"/>
      <c r="F49" s="668"/>
    </row>
    <row r="50" spans="1:6" s="570" customFormat="1" ht="15" customHeight="1">
      <c r="A50" s="1097" t="s">
        <v>687</v>
      </c>
      <c r="B50" s="1098"/>
      <c r="C50" s="1099"/>
      <c r="D50" s="669">
        <f>D11</f>
        <v>1231165801.3699999</v>
      </c>
      <c r="E50" s="670">
        <f>E11</f>
        <v>-104429661.28999999</v>
      </c>
      <c r="F50" s="670">
        <f>F11</f>
        <v>1126736140.0799999</v>
      </c>
    </row>
    <row r="51" spans="1:6" ht="15" customHeight="1">
      <c r="A51" s="1091" t="s">
        <v>688</v>
      </c>
      <c r="B51" s="1092"/>
      <c r="C51" s="1093"/>
      <c r="D51" s="658">
        <f>D26</f>
        <v>816542827.37</v>
      </c>
      <c r="E51" s="654">
        <f>E26</f>
        <v>-35918387.289999999</v>
      </c>
      <c r="F51" s="654">
        <f>F26</f>
        <v>780624440.08000004</v>
      </c>
    </row>
    <row r="52" spans="1:6" ht="15" customHeight="1">
      <c r="A52" s="1091" t="s">
        <v>689</v>
      </c>
      <c r="B52" s="1092"/>
      <c r="C52" s="1093"/>
      <c r="D52" s="658">
        <f>D18+D19</f>
        <v>0</v>
      </c>
      <c r="E52" s="658">
        <f>E18+E19</f>
        <v>1209297</v>
      </c>
      <c r="F52" s="658">
        <f>F18+F19</f>
        <v>1209297</v>
      </c>
    </row>
    <row r="53" spans="1:6" ht="25.5" customHeight="1">
      <c r="A53" s="1097" t="s">
        <v>690</v>
      </c>
      <c r="B53" s="1098"/>
      <c r="C53" s="1099"/>
      <c r="D53" s="658">
        <f>D50-D51+D52</f>
        <v>414622973.99999988</v>
      </c>
      <c r="E53" s="654">
        <f>E50-E51+E52</f>
        <v>-67301977</v>
      </c>
      <c r="F53" s="671">
        <f>F50-F51+F52</f>
        <v>347320996.99999988</v>
      </c>
    </row>
    <row r="54" spans="1:6" ht="25.5" customHeight="1">
      <c r="A54" s="1091" t="s">
        <v>691</v>
      </c>
      <c r="B54" s="1092"/>
      <c r="C54" s="1093"/>
      <c r="D54" s="658">
        <f>D27+D30</f>
        <v>75477186</v>
      </c>
      <c r="E54" s="658">
        <f>E27+E30</f>
        <v>-17360764</v>
      </c>
      <c r="F54" s="658">
        <f>F27+F30</f>
        <v>58116422</v>
      </c>
    </row>
    <row r="55" spans="1:6" ht="15" customHeight="1">
      <c r="A55" s="1097" t="s">
        <v>692</v>
      </c>
      <c r="B55" s="1098"/>
      <c r="C55" s="1099"/>
      <c r="D55" s="658">
        <f>D53-D54</f>
        <v>339145787.99999988</v>
      </c>
      <c r="E55" s="654">
        <f>E53-E54</f>
        <v>-49941213</v>
      </c>
      <c r="F55" s="671">
        <f>F53-F54</f>
        <v>289204574.99999988</v>
      </c>
    </row>
    <row r="56" spans="1:6" ht="15" customHeight="1">
      <c r="A56" s="1091" t="s">
        <v>693</v>
      </c>
      <c r="B56" s="1092"/>
      <c r="C56" s="1093"/>
      <c r="D56" s="658">
        <f>D28</f>
        <v>474126740</v>
      </c>
      <c r="E56" s="658">
        <f>E28</f>
        <v>-49941213</v>
      </c>
      <c r="F56" s="658">
        <f>F28</f>
        <v>424185527</v>
      </c>
    </row>
    <row r="57" spans="1:6" ht="15" customHeight="1">
      <c r="A57" s="1097" t="s">
        <v>694</v>
      </c>
      <c r="B57" s="1098"/>
      <c r="C57" s="1099"/>
      <c r="D57" s="658">
        <f>D55-D56</f>
        <v>-134980952.00000012</v>
      </c>
      <c r="E57" s="654">
        <f>E55-E56</f>
        <v>0</v>
      </c>
      <c r="F57" s="671">
        <f>F55-F56</f>
        <v>-134980952.00000012</v>
      </c>
    </row>
    <row r="58" spans="1:6" ht="15" customHeight="1">
      <c r="A58" s="1091" t="s">
        <v>695</v>
      </c>
      <c r="B58" s="1092"/>
      <c r="C58" s="1093"/>
      <c r="D58" s="658">
        <f>D15</f>
        <v>134980952</v>
      </c>
      <c r="E58" s="658">
        <f>E15</f>
        <v>0</v>
      </c>
      <c r="F58" s="658">
        <f>F15</f>
        <v>134980952</v>
      </c>
    </row>
    <row r="59" spans="1:6" ht="14.25" customHeight="1">
      <c r="A59" s="1100" t="s">
        <v>696</v>
      </c>
      <c r="B59" s="1101"/>
      <c r="C59" s="1102"/>
      <c r="D59" s="672">
        <f>D57+D58</f>
        <v>0</v>
      </c>
      <c r="E59" s="673">
        <f>E57+E58</f>
        <v>0</v>
      </c>
      <c r="F59" s="674">
        <f>F57+F58</f>
        <v>0</v>
      </c>
    </row>
    <row r="60" spans="1:6" ht="6.75" hidden="1" customHeight="1" thickBot="1">
      <c r="A60" s="675"/>
      <c r="B60" s="676"/>
      <c r="C60" s="677"/>
      <c r="D60" s="678"/>
    </row>
  </sheetData>
  <sheetProtection password="C25B" sheet="1"/>
  <mergeCells count="22">
    <mergeCell ref="A58:C58"/>
    <mergeCell ref="A59:C59"/>
    <mergeCell ref="A52:C52"/>
    <mergeCell ref="A53:C53"/>
    <mergeCell ref="A54:C54"/>
    <mergeCell ref="A55:C55"/>
    <mergeCell ref="A56:C56"/>
    <mergeCell ref="A57:C57"/>
    <mergeCell ref="A44:C44"/>
    <mergeCell ref="A45:C45"/>
    <mergeCell ref="A46:C46"/>
    <mergeCell ref="A47:C47"/>
    <mergeCell ref="A50:C50"/>
    <mergeCell ref="A51:C51"/>
    <mergeCell ref="A5:F5"/>
    <mergeCell ref="A6:C6"/>
    <mergeCell ref="A7:A8"/>
    <mergeCell ref="B7:B8"/>
    <mergeCell ref="C7:C8"/>
    <mergeCell ref="D7:D8"/>
    <mergeCell ref="E7:E8"/>
    <mergeCell ref="F7:F8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6"/>
  <sheetViews>
    <sheetView view="pageBreakPreview" topLeftCell="A508" zoomScaleNormal="100" zoomScaleSheetLayoutView="100" workbookViewId="0">
      <selection activeCell="W1" sqref="A1:W546"/>
    </sheetView>
  </sheetViews>
  <sheetFormatPr defaultRowHeight="15"/>
  <cols>
    <col min="1" max="1" width="5.375" style="703" customWidth="1"/>
    <col min="2" max="2" width="8.125" style="703" customWidth="1"/>
    <col min="3" max="3" width="9.375" style="703" customWidth="1"/>
    <col min="4" max="4" width="44.125" style="703" customWidth="1"/>
    <col min="5" max="5" width="11.25" style="703" customWidth="1"/>
    <col min="6" max="6" width="9.75" style="703" customWidth="1"/>
    <col min="7" max="7" width="11" style="703" customWidth="1"/>
    <col min="8" max="9" width="14.25" style="703" customWidth="1"/>
    <col min="10" max="10" width="11.375" style="703" customWidth="1"/>
    <col min="11" max="11" width="11.25" style="703" customWidth="1"/>
    <col min="12" max="12" width="10.75" style="703" customWidth="1"/>
    <col min="13" max="13" width="10.875" style="703" customWidth="1"/>
    <col min="14" max="14" width="11.25" style="703" customWidth="1"/>
    <col min="15" max="15" width="11.375" style="703" customWidth="1"/>
    <col min="16" max="20" width="11.125" style="703" customWidth="1"/>
    <col min="21" max="21" width="11.375" style="703" customWidth="1"/>
    <col min="22" max="22" width="11.25" style="703" customWidth="1"/>
    <col min="23" max="23" width="11.125" style="703" customWidth="1"/>
    <col min="24" max="16384" width="9" style="703"/>
  </cols>
  <sheetData>
    <row r="1" spans="1:24" s="681" customFormat="1" ht="15.75">
      <c r="A1" s="680" t="s">
        <v>486</v>
      </c>
      <c r="U1" s="682" t="s">
        <v>698</v>
      </c>
      <c r="V1" s="682"/>
    </row>
    <row r="2" spans="1:24" s="681" customFormat="1" ht="15.75">
      <c r="A2" s="680"/>
      <c r="U2" s="682" t="s">
        <v>971</v>
      </c>
      <c r="V2" s="682"/>
    </row>
    <row r="3" spans="1:24" s="681" customFormat="1" ht="15.75">
      <c r="A3" s="680"/>
      <c r="U3" s="682" t="s">
        <v>632</v>
      </c>
      <c r="V3" s="682"/>
    </row>
    <row r="4" spans="1:24" s="681" customFormat="1" ht="8.25" customHeight="1">
      <c r="A4" s="680"/>
    </row>
    <row r="5" spans="1:24" s="681" customFormat="1" ht="42.75" customHeight="1">
      <c r="A5" s="1106" t="s">
        <v>699</v>
      </c>
      <c r="B5" s="1106"/>
      <c r="C5" s="1106"/>
      <c r="D5" s="1106"/>
      <c r="E5" s="1106"/>
      <c r="F5" s="1106"/>
      <c r="G5" s="1106"/>
      <c r="H5" s="1106"/>
      <c r="I5" s="1106"/>
      <c r="J5" s="1106"/>
      <c r="K5" s="1106"/>
      <c r="L5" s="1106"/>
      <c r="M5" s="1106"/>
      <c r="N5" s="1106"/>
      <c r="O5" s="1106"/>
      <c r="P5" s="1106"/>
      <c r="Q5" s="1106"/>
      <c r="R5" s="1106"/>
      <c r="S5" s="1106"/>
      <c r="T5" s="1106"/>
      <c r="U5" s="1106"/>
      <c r="V5" s="1106"/>
      <c r="W5" s="1106"/>
    </row>
    <row r="6" spans="1:24" s="681" customFormat="1" ht="14.25" customHeight="1">
      <c r="A6" s="683"/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684" t="s">
        <v>2</v>
      </c>
    </row>
    <row r="7" spans="1:24" s="681" customFormat="1" ht="19.5" customHeight="1">
      <c r="A7" s="1107" t="s">
        <v>700</v>
      </c>
      <c r="B7" s="1110" t="s">
        <v>701</v>
      </c>
      <c r="C7" s="1110" t="s">
        <v>702</v>
      </c>
      <c r="D7" s="1113" t="s">
        <v>703</v>
      </c>
      <c r="E7" s="1113" t="s">
        <v>704</v>
      </c>
      <c r="F7" s="1110" t="s">
        <v>705</v>
      </c>
      <c r="G7" s="1113" t="s">
        <v>230</v>
      </c>
      <c r="H7" s="1103" t="s">
        <v>706</v>
      </c>
      <c r="I7" s="1104" t="s">
        <v>707</v>
      </c>
      <c r="J7" s="1116" t="s">
        <v>708</v>
      </c>
      <c r="K7" s="1116"/>
      <c r="L7" s="1116"/>
      <c r="M7" s="1116"/>
      <c r="N7" s="1116"/>
      <c r="O7" s="1116"/>
      <c r="P7" s="1116"/>
      <c r="Q7" s="1116"/>
      <c r="R7" s="1116"/>
      <c r="S7" s="1116"/>
      <c r="T7" s="1116"/>
      <c r="U7" s="1116"/>
      <c r="V7" s="1116"/>
      <c r="W7" s="1116"/>
    </row>
    <row r="8" spans="1:24" s="685" customFormat="1" ht="18.75" customHeight="1">
      <c r="A8" s="1108"/>
      <c r="B8" s="1111"/>
      <c r="C8" s="1111"/>
      <c r="D8" s="1114"/>
      <c r="E8" s="1114"/>
      <c r="F8" s="1111"/>
      <c r="G8" s="1114"/>
      <c r="H8" s="1103"/>
      <c r="I8" s="1104"/>
      <c r="J8" s="1116"/>
      <c r="K8" s="1116"/>
      <c r="L8" s="1116"/>
      <c r="M8" s="1116"/>
      <c r="N8" s="1116"/>
      <c r="O8" s="1116"/>
      <c r="P8" s="1116"/>
      <c r="Q8" s="1116"/>
      <c r="R8" s="1116"/>
      <c r="S8" s="1116"/>
      <c r="T8" s="1116"/>
      <c r="U8" s="1116"/>
      <c r="V8" s="1116"/>
      <c r="W8" s="1116"/>
    </row>
    <row r="9" spans="1:24" s="685" customFormat="1" ht="15.75" customHeight="1">
      <c r="A9" s="1108"/>
      <c r="B9" s="1111"/>
      <c r="C9" s="1111"/>
      <c r="D9" s="1114"/>
      <c r="E9" s="1114"/>
      <c r="F9" s="1111"/>
      <c r="G9" s="1114"/>
      <c r="H9" s="686" t="s">
        <v>709</v>
      </c>
      <c r="I9" s="686" t="s">
        <v>709</v>
      </c>
      <c r="J9" s="1116" t="s">
        <v>710</v>
      </c>
      <c r="K9" s="1117" t="s">
        <v>711</v>
      </c>
      <c r="L9" s="1117"/>
      <c r="M9" s="1117"/>
      <c r="N9" s="1118" t="s">
        <v>712</v>
      </c>
      <c r="O9" s="1117" t="s">
        <v>713</v>
      </c>
      <c r="P9" s="1117"/>
      <c r="Q9" s="1117"/>
      <c r="R9" s="1117"/>
      <c r="S9" s="1117"/>
      <c r="T9" s="1117"/>
      <c r="U9" s="1117"/>
      <c r="V9" s="1117"/>
      <c r="W9" s="1117"/>
    </row>
    <row r="10" spans="1:24" s="685" customFormat="1" ht="12.75" customHeight="1">
      <c r="A10" s="1108"/>
      <c r="B10" s="1111"/>
      <c r="C10" s="1111"/>
      <c r="D10" s="1114"/>
      <c r="E10" s="1114"/>
      <c r="F10" s="1111"/>
      <c r="G10" s="1114"/>
      <c r="H10" s="686" t="s">
        <v>714</v>
      </c>
      <c r="I10" s="686" t="s">
        <v>714</v>
      </c>
      <c r="J10" s="1116"/>
      <c r="K10" s="1117"/>
      <c r="L10" s="1117"/>
      <c r="M10" s="1117"/>
      <c r="N10" s="1118"/>
      <c r="O10" s="1105" t="s">
        <v>715</v>
      </c>
      <c r="P10" s="1105"/>
      <c r="Q10" s="1105"/>
      <c r="R10" s="1105" t="s">
        <v>716</v>
      </c>
      <c r="S10" s="1105"/>
      <c r="T10" s="1105"/>
      <c r="U10" s="1118" t="s">
        <v>717</v>
      </c>
      <c r="V10" s="1118"/>
      <c r="W10" s="1118"/>
    </row>
    <row r="11" spans="1:24" s="685" customFormat="1" ht="12.75">
      <c r="A11" s="1108"/>
      <c r="B11" s="1111"/>
      <c r="C11" s="1111"/>
      <c r="D11" s="1114"/>
      <c r="E11" s="1114"/>
      <c r="F11" s="1111"/>
      <c r="G11" s="1114"/>
      <c r="H11" s="686" t="s">
        <v>421</v>
      </c>
      <c r="I11" s="686" t="s">
        <v>421</v>
      </c>
      <c r="J11" s="1116"/>
      <c r="K11" s="1105" t="s">
        <v>6</v>
      </c>
      <c r="L11" s="1105" t="s">
        <v>718</v>
      </c>
      <c r="M11" s="1105" t="s">
        <v>719</v>
      </c>
      <c r="N11" s="1118"/>
      <c r="O11" s="1105" t="s">
        <v>6</v>
      </c>
      <c r="P11" s="1105" t="s">
        <v>720</v>
      </c>
      <c r="Q11" s="1122" t="s">
        <v>719</v>
      </c>
      <c r="R11" s="1105" t="s">
        <v>6</v>
      </c>
      <c r="S11" s="1105" t="s">
        <v>720</v>
      </c>
      <c r="T11" s="1119" t="s">
        <v>719</v>
      </c>
      <c r="U11" s="1118" t="s">
        <v>721</v>
      </c>
      <c r="V11" s="1105" t="s">
        <v>720</v>
      </c>
      <c r="W11" s="1119" t="s">
        <v>719</v>
      </c>
    </row>
    <row r="12" spans="1:24" s="685" customFormat="1" ht="12.75">
      <c r="A12" s="1109"/>
      <c r="B12" s="1112"/>
      <c r="C12" s="1112"/>
      <c r="D12" s="1115"/>
      <c r="E12" s="1115"/>
      <c r="F12" s="1112"/>
      <c r="G12" s="1115"/>
      <c r="H12" s="686" t="s">
        <v>717</v>
      </c>
      <c r="I12" s="686" t="s">
        <v>717</v>
      </c>
      <c r="J12" s="1116"/>
      <c r="K12" s="1105"/>
      <c r="L12" s="1105"/>
      <c r="M12" s="1105"/>
      <c r="N12" s="1118"/>
      <c r="O12" s="1105"/>
      <c r="P12" s="1105"/>
      <c r="Q12" s="1122"/>
      <c r="R12" s="1105"/>
      <c r="S12" s="1105"/>
      <c r="T12" s="1119"/>
      <c r="U12" s="1118"/>
      <c r="V12" s="1105"/>
      <c r="W12" s="1119"/>
    </row>
    <row r="13" spans="1:24" s="688" customFormat="1" ht="11.25">
      <c r="A13" s="687">
        <v>1</v>
      </c>
      <c r="B13" s="687">
        <v>2</v>
      </c>
      <c r="C13" s="687">
        <v>3</v>
      </c>
      <c r="D13" s="687">
        <v>4</v>
      </c>
      <c r="E13" s="687">
        <v>5</v>
      </c>
      <c r="F13" s="687">
        <v>6</v>
      </c>
      <c r="G13" s="687">
        <v>7</v>
      </c>
      <c r="H13" s="687">
        <v>8</v>
      </c>
      <c r="I13" s="687" t="s">
        <v>722</v>
      </c>
      <c r="J13" s="687" t="s">
        <v>723</v>
      </c>
      <c r="K13" s="687" t="s">
        <v>724</v>
      </c>
      <c r="L13" s="687">
        <v>11</v>
      </c>
      <c r="M13" s="687">
        <v>12</v>
      </c>
      <c r="N13" s="687" t="s">
        <v>725</v>
      </c>
      <c r="O13" s="687" t="s">
        <v>726</v>
      </c>
      <c r="P13" s="687">
        <v>15</v>
      </c>
      <c r="Q13" s="687">
        <v>16</v>
      </c>
      <c r="R13" s="687" t="s">
        <v>727</v>
      </c>
      <c r="S13" s="687">
        <v>18</v>
      </c>
      <c r="T13" s="687">
        <v>19</v>
      </c>
      <c r="U13" s="687" t="s">
        <v>728</v>
      </c>
      <c r="V13" s="687">
        <v>21</v>
      </c>
      <c r="W13" s="687">
        <v>22</v>
      </c>
    </row>
    <row r="14" spans="1:24" s="688" customFormat="1" ht="5.25" customHeight="1">
      <c r="A14" s="1120"/>
      <c r="B14" s="1120"/>
      <c r="C14" s="1120"/>
      <c r="D14" s="1120"/>
      <c r="E14" s="1120"/>
      <c r="F14" s="1120"/>
      <c r="G14" s="1120"/>
      <c r="H14" s="1120"/>
      <c r="I14" s="1120"/>
      <c r="J14" s="1120"/>
      <c r="K14" s="1120"/>
      <c r="L14" s="1120"/>
      <c r="M14" s="1120"/>
      <c r="N14" s="1120"/>
      <c r="O14" s="1120"/>
      <c r="P14" s="1120"/>
      <c r="Q14" s="1120"/>
      <c r="R14" s="1120"/>
      <c r="S14" s="1120"/>
      <c r="T14" s="1120"/>
      <c r="U14" s="1120"/>
      <c r="V14" s="1120"/>
      <c r="W14" s="1120"/>
    </row>
    <row r="15" spans="1:24" s="688" customFormat="1" ht="21.75" customHeight="1">
      <c r="A15" s="1121" t="s">
        <v>729</v>
      </c>
      <c r="B15" s="1121"/>
      <c r="C15" s="1121"/>
      <c r="D15" s="1121"/>
      <c r="E15" s="1121"/>
      <c r="F15" s="1121"/>
      <c r="G15" s="1121"/>
      <c r="H15" s="1121"/>
      <c r="I15" s="1121"/>
      <c r="J15" s="1121"/>
      <c r="K15" s="1121"/>
      <c r="L15" s="1121"/>
      <c r="M15" s="1121"/>
      <c r="N15" s="1121"/>
      <c r="O15" s="1121"/>
      <c r="P15" s="1121"/>
      <c r="Q15" s="1121"/>
      <c r="R15" s="1121"/>
      <c r="S15" s="1121"/>
      <c r="T15" s="1121"/>
      <c r="U15" s="1121"/>
      <c r="V15" s="1121"/>
      <c r="W15" s="1121"/>
      <c r="X15" s="689"/>
    </row>
    <row r="16" spans="1:24" s="688" customFormat="1" ht="3.75" customHeight="1">
      <c r="A16" s="1123"/>
      <c r="B16" s="1123"/>
      <c r="C16" s="1123"/>
      <c r="D16" s="1123"/>
      <c r="E16" s="1123"/>
      <c r="F16" s="1123"/>
      <c r="G16" s="1123"/>
      <c r="H16" s="1123"/>
      <c r="I16" s="1123"/>
      <c r="J16" s="1123"/>
      <c r="K16" s="1123"/>
      <c r="L16" s="1123"/>
      <c r="M16" s="1123"/>
      <c r="N16" s="1123"/>
      <c r="O16" s="1123"/>
      <c r="P16" s="1123"/>
      <c r="Q16" s="1123"/>
      <c r="R16" s="1123"/>
      <c r="S16" s="1123"/>
      <c r="T16" s="1123"/>
      <c r="U16" s="1123"/>
      <c r="V16" s="1123"/>
      <c r="W16" s="1123"/>
      <c r="X16" s="690"/>
    </row>
    <row r="17" spans="1:23" s="692" customFormat="1" ht="16.5" hidden="1" customHeight="1">
      <c r="A17" s="1124">
        <v>1</v>
      </c>
      <c r="B17" s="1125" t="s">
        <v>730</v>
      </c>
      <c r="C17" s="1126" t="s">
        <v>731</v>
      </c>
      <c r="D17" s="1127" t="s">
        <v>732</v>
      </c>
      <c r="E17" s="1124" t="s">
        <v>733</v>
      </c>
      <c r="F17" s="1124" t="s">
        <v>734</v>
      </c>
      <c r="G17" s="1125" t="s">
        <v>735</v>
      </c>
      <c r="H17" s="691">
        <f>H18+H19+H20+H21</f>
        <v>23433538</v>
      </c>
      <c r="I17" s="691">
        <f>I18+I19+I20+I21</f>
        <v>9217954</v>
      </c>
      <c r="J17" s="1128">
        <f>K17+N17</f>
        <v>3347870</v>
      </c>
      <c r="K17" s="1128">
        <f>L17+M17</f>
        <v>2870834</v>
      </c>
      <c r="L17" s="1129">
        <v>2870834</v>
      </c>
      <c r="M17" s="1129">
        <v>0</v>
      </c>
      <c r="N17" s="1128">
        <f>O17+R17+U17</f>
        <v>477036</v>
      </c>
      <c r="O17" s="1128">
        <f>P17+Q17</f>
        <v>0</v>
      </c>
      <c r="P17" s="1129">
        <v>0</v>
      </c>
      <c r="Q17" s="1129">
        <v>0</v>
      </c>
      <c r="R17" s="1128">
        <f>S17+T17</f>
        <v>249685</v>
      </c>
      <c r="S17" s="1129">
        <v>249685</v>
      </c>
      <c r="T17" s="1129">
        <v>0</v>
      </c>
      <c r="U17" s="1128">
        <f>V17+W17</f>
        <v>227351</v>
      </c>
      <c r="V17" s="1129">
        <v>227351</v>
      </c>
      <c r="W17" s="1129">
        <v>0</v>
      </c>
    </row>
    <row r="18" spans="1:23" s="692" customFormat="1" ht="16.5" hidden="1" customHeight="1">
      <c r="A18" s="1124"/>
      <c r="B18" s="1125"/>
      <c r="C18" s="1126"/>
      <c r="D18" s="1127"/>
      <c r="E18" s="1124"/>
      <c r="F18" s="1124"/>
      <c r="G18" s="1125"/>
      <c r="H18" s="691">
        <v>19913614</v>
      </c>
      <c r="I18" s="691">
        <v>7843526</v>
      </c>
      <c r="J18" s="1128"/>
      <c r="K18" s="1128"/>
      <c r="L18" s="1129"/>
      <c r="M18" s="1129"/>
      <c r="N18" s="1128"/>
      <c r="O18" s="1128"/>
      <c r="P18" s="1129"/>
      <c r="Q18" s="1129"/>
      <c r="R18" s="1128"/>
      <c r="S18" s="1129"/>
      <c r="T18" s="1129"/>
      <c r="U18" s="1128"/>
      <c r="V18" s="1129"/>
      <c r="W18" s="1129"/>
    </row>
    <row r="19" spans="1:23" s="692" customFormat="1" ht="16.5" hidden="1" customHeight="1">
      <c r="A19" s="1124"/>
      <c r="B19" s="1125"/>
      <c r="C19" s="1126"/>
      <c r="D19" s="1127"/>
      <c r="E19" s="1124"/>
      <c r="F19" s="1124"/>
      <c r="G19" s="1125"/>
      <c r="H19" s="691">
        <v>0</v>
      </c>
      <c r="I19" s="691">
        <v>0</v>
      </c>
      <c r="J19" s="693">
        <f>K19+N19</f>
        <v>0</v>
      </c>
      <c r="K19" s="693">
        <f>L19+M19</f>
        <v>0</v>
      </c>
      <c r="L19" s="694">
        <v>0</v>
      </c>
      <c r="M19" s="694">
        <v>0</v>
      </c>
      <c r="N19" s="693">
        <f>O19+R19+U19</f>
        <v>0</v>
      </c>
      <c r="O19" s="693">
        <f>P19+Q19</f>
        <v>0</v>
      </c>
      <c r="P19" s="694">
        <v>0</v>
      </c>
      <c r="Q19" s="694">
        <v>0</v>
      </c>
      <c r="R19" s="693">
        <f>S19+T19</f>
        <v>0</v>
      </c>
      <c r="S19" s="694">
        <v>0</v>
      </c>
      <c r="T19" s="694">
        <v>0</v>
      </c>
      <c r="U19" s="693">
        <f>V19+W19</f>
        <v>0</v>
      </c>
      <c r="V19" s="694">
        <v>0</v>
      </c>
      <c r="W19" s="694">
        <v>0</v>
      </c>
    </row>
    <row r="20" spans="1:23" s="692" customFormat="1" ht="16.5" hidden="1" customHeight="1">
      <c r="A20" s="1124"/>
      <c r="B20" s="1125"/>
      <c r="C20" s="1126"/>
      <c r="D20" s="1127"/>
      <c r="E20" s="1124"/>
      <c r="F20" s="1124"/>
      <c r="G20" s="1125"/>
      <c r="H20" s="691">
        <v>1953551</v>
      </c>
      <c r="I20" s="691">
        <v>976430</v>
      </c>
      <c r="J20" s="1128">
        <f>J17+J19</f>
        <v>3347870</v>
      </c>
      <c r="K20" s="1128">
        <f t="shared" ref="K20:W20" si="0">K17+K19</f>
        <v>2870834</v>
      </c>
      <c r="L20" s="1129">
        <f t="shared" si="0"/>
        <v>2870834</v>
      </c>
      <c r="M20" s="1129">
        <f t="shared" si="0"/>
        <v>0</v>
      </c>
      <c r="N20" s="1128">
        <f t="shared" si="0"/>
        <v>477036</v>
      </c>
      <c r="O20" s="1128">
        <f t="shared" si="0"/>
        <v>0</v>
      </c>
      <c r="P20" s="1129">
        <f t="shared" si="0"/>
        <v>0</v>
      </c>
      <c r="Q20" s="1129">
        <f t="shared" si="0"/>
        <v>0</v>
      </c>
      <c r="R20" s="1128">
        <f t="shared" si="0"/>
        <v>249685</v>
      </c>
      <c r="S20" s="1129">
        <f t="shared" si="0"/>
        <v>249685</v>
      </c>
      <c r="T20" s="1129">
        <f t="shared" si="0"/>
        <v>0</v>
      </c>
      <c r="U20" s="1128">
        <f t="shared" si="0"/>
        <v>227351</v>
      </c>
      <c r="V20" s="1129">
        <f t="shared" si="0"/>
        <v>227351</v>
      </c>
      <c r="W20" s="1129">
        <f t="shared" si="0"/>
        <v>0</v>
      </c>
    </row>
    <row r="21" spans="1:23" s="692" customFormat="1" ht="16.5" hidden="1" customHeight="1">
      <c r="A21" s="1124"/>
      <c r="B21" s="1125"/>
      <c r="C21" s="1126"/>
      <c r="D21" s="1127"/>
      <c r="E21" s="1124"/>
      <c r="F21" s="1124"/>
      <c r="G21" s="1125"/>
      <c r="H21" s="691">
        <v>1566373</v>
      </c>
      <c r="I21" s="691">
        <v>397998</v>
      </c>
      <c r="J21" s="1128"/>
      <c r="K21" s="1128"/>
      <c r="L21" s="1129"/>
      <c r="M21" s="1129"/>
      <c r="N21" s="1128"/>
      <c r="O21" s="1128"/>
      <c r="P21" s="1129"/>
      <c r="Q21" s="1129"/>
      <c r="R21" s="1128"/>
      <c r="S21" s="1129"/>
      <c r="T21" s="1129"/>
      <c r="U21" s="1128"/>
      <c r="V21" s="1129"/>
      <c r="W21" s="1129"/>
    </row>
    <row r="22" spans="1:23" s="692" customFormat="1" ht="16.5" hidden="1" customHeight="1">
      <c r="A22" s="1124">
        <v>2</v>
      </c>
      <c r="B22" s="1125" t="s">
        <v>730</v>
      </c>
      <c r="C22" s="1126" t="s">
        <v>731</v>
      </c>
      <c r="D22" s="1127" t="s">
        <v>736</v>
      </c>
      <c r="E22" s="1124" t="s">
        <v>733</v>
      </c>
      <c r="F22" s="1124" t="s">
        <v>734</v>
      </c>
      <c r="G22" s="1125" t="s">
        <v>735</v>
      </c>
      <c r="H22" s="691">
        <f>H23+H24+H25+H26</f>
        <v>8544937</v>
      </c>
      <c r="I22" s="691">
        <f>I23+I24+I25+I26</f>
        <v>1677214</v>
      </c>
      <c r="J22" s="1128">
        <f>K22+N22</f>
        <v>1726955</v>
      </c>
      <c r="K22" s="1128">
        <f>L22+M22</f>
        <v>1477110</v>
      </c>
      <c r="L22" s="1129">
        <v>1477110</v>
      </c>
      <c r="M22" s="1129">
        <v>0</v>
      </c>
      <c r="N22" s="1128">
        <f>O22+R22+U22</f>
        <v>249845</v>
      </c>
      <c r="O22" s="1128">
        <f>P22+Q22</f>
        <v>0</v>
      </c>
      <c r="P22" s="1129">
        <v>0</v>
      </c>
      <c r="Q22" s="1129">
        <v>0</v>
      </c>
      <c r="R22" s="1128">
        <f>S22+T22</f>
        <v>32845</v>
      </c>
      <c r="S22" s="1129">
        <v>32845</v>
      </c>
      <c r="T22" s="1129">
        <v>0</v>
      </c>
      <c r="U22" s="1128">
        <f>V22+W22</f>
        <v>217000</v>
      </c>
      <c r="V22" s="1129">
        <v>217000</v>
      </c>
      <c r="W22" s="1129">
        <v>0</v>
      </c>
    </row>
    <row r="23" spans="1:23" s="692" customFormat="1" ht="16.5" hidden="1" customHeight="1">
      <c r="A23" s="1124"/>
      <c r="B23" s="1125"/>
      <c r="C23" s="1126"/>
      <c r="D23" s="1127"/>
      <c r="E23" s="1124"/>
      <c r="F23" s="1124"/>
      <c r="G23" s="1125"/>
      <c r="H23" s="691">
        <v>7231583</v>
      </c>
      <c r="I23" s="691">
        <v>1394107</v>
      </c>
      <c r="J23" s="1128"/>
      <c r="K23" s="1128"/>
      <c r="L23" s="1129"/>
      <c r="M23" s="1129"/>
      <c r="N23" s="1128"/>
      <c r="O23" s="1128"/>
      <c r="P23" s="1129"/>
      <c r="Q23" s="1129"/>
      <c r="R23" s="1128"/>
      <c r="S23" s="1129"/>
      <c r="T23" s="1129"/>
      <c r="U23" s="1128"/>
      <c r="V23" s="1129"/>
      <c r="W23" s="1129"/>
    </row>
    <row r="24" spans="1:23" s="692" customFormat="1" ht="16.5" hidden="1" customHeight="1">
      <c r="A24" s="1124"/>
      <c r="B24" s="1125"/>
      <c r="C24" s="1126"/>
      <c r="D24" s="1127"/>
      <c r="E24" s="1124"/>
      <c r="F24" s="1124"/>
      <c r="G24" s="1125"/>
      <c r="H24" s="691">
        <v>0</v>
      </c>
      <c r="I24" s="691">
        <v>0</v>
      </c>
      <c r="J24" s="693">
        <f>K24+N24</f>
        <v>0</v>
      </c>
      <c r="K24" s="693">
        <f>L24+M24</f>
        <v>0</v>
      </c>
      <c r="L24" s="694">
        <v>0</v>
      </c>
      <c r="M24" s="694">
        <v>0</v>
      </c>
      <c r="N24" s="693">
        <f>O24+R24+U24</f>
        <v>0</v>
      </c>
      <c r="O24" s="693">
        <f>P24+Q24</f>
        <v>0</v>
      </c>
      <c r="P24" s="694">
        <v>0</v>
      </c>
      <c r="Q24" s="694">
        <v>0</v>
      </c>
      <c r="R24" s="693">
        <f>S24+T24</f>
        <v>0</v>
      </c>
      <c r="S24" s="694">
        <v>0</v>
      </c>
      <c r="T24" s="694">
        <v>0</v>
      </c>
      <c r="U24" s="693">
        <f>V24+W24</f>
        <v>0</v>
      </c>
      <c r="V24" s="694">
        <v>0</v>
      </c>
      <c r="W24" s="694">
        <v>0</v>
      </c>
    </row>
    <row r="25" spans="1:23" s="692" customFormat="1" ht="16.5" hidden="1" customHeight="1">
      <c r="A25" s="1124"/>
      <c r="B25" s="1125"/>
      <c r="C25" s="1126"/>
      <c r="D25" s="1127"/>
      <c r="E25" s="1124"/>
      <c r="F25" s="1124"/>
      <c r="G25" s="1125"/>
      <c r="H25" s="691">
        <v>363602</v>
      </c>
      <c r="I25" s="691">
        <v>147660</v>
      </c>
      <c r="J25" s="1128">
        <f t="shared" ref="J25:W25" si="1">J22+J24</f>
        <v>1726955</v>
      </c>
      <c r="K25" s="1128">
        <f t="shared" si="1"/>
        <v>1477110</v>
      </c>
      <c r="L25" s="1129">
        <f t="shared" si="1"/>
        <v>1477110</v>
      </c>
      <c r="M25" s="1129">
        <f t="shared" si="1"/>
        <v>0</v>
      </c>
      <c r="N25" s="1128">
        <f t="shared" si="1"/>
        <v>249845</v>
      </c>
      <c r="O25" s="1128">
        <f t="shared" si="1"/>
        <v>0</v>
      </c>
      <c r="P25" s="1129">
        <f t="shared" si="1"/>
        <v>0</v>
      </c>
      <c r="Q25" s="1129">
        <f t="shared" si="1"/>
        <v>0</v>
      </c>
      <c r="R25" s="1128">
        <f t="shared" si="1"/>
        <v>32845</v>
      </c>
      <c r="S25" s="1129">
        <f t="shared" si="1"/>
        <v>32845</v>
      </c>
      <c r="T25" s="1129">
        <f t="shared" si="1"/>
        <v>0</v>
      </c>
      <c r="U25" s="1128">
        <f t="shared" si="1"/>
        <v>217000</v>
      </c>
      <c r="V25" s="1129">
        <f t="shared" si="1"/>
        <v>217000</v>
      </c>
      <c r="W25" s="1129">
        <f t="shared" si="1"/>
        <v>0</v>
      </c>
    </row>
    <row r="26" spans="1:23" s="692" customFormat="1" ht="16.5" hidden="1" customHeight="1">
      <c r="A26" s="1124"/>
      <c r="B26" s="1125"/>
      <c r="C26" s="1126"/>
      <c r="D26" s="1127"/>
      <c r="E26" s="1124"/>
      <c r="F26" s="1124"/>
      <c r="G26" s="1125"/>
      <c r="H26" s="691">
        <v>949752</v>
      </c>
      <c r="I26" s="691">
        <v>135447</v>
      </c>
      <c r="J26" s="1128"/>
      <c r="K26" s="1128"/>
      <c r="L26" s="1129"/>
      <c r="M26" s="1129"/>
      <c r="N26" s="1128"/>
      <c r="O26" s="1128"/>
      <c r="P26" s="1129"/>
      <c r="Q26" s="1129"/>
      <c r="R26" s="1128"/>
      <c r="S26" s="1129"/>
      <c r="T26" s="1129"/>
      <c r="U26" s="1128"/>
      <c r="V26" s="1129"/>
      <c r="W26" s="1129"/>
    </row>
    <row r="27" spans="1:23" s="692" customFormat="1" ht="15.75" hidden="1" customHeight="1">
      <c r="A27" s="1124">
        <v>1</v>
      </c>
      <c r="B27" s="1125" t="s">
        <v>730</v>
      </c>
      <c r="C27" s="1126" t="s">
        <v>731</v>
      </c>
      <c r="D27" s="1127" t="s">
        <v>737</v>
      </c>
      <c r="E27" s="1124" t="s">
        <v>733</v>
      </c>
      <c r="F27" s="1124" t="s">
        <v>734</v>
      </c>
      <c r="G27" s="1125" t="s">
        <v>738</v>
      </c>
      <c r="H27" s="691">
        <f>H28+H29+H30+H31</f>
        <v>11360000</v>
      </c>
      <c r="I27" s="691">
        <f>I28+I29+I30+I31</f>
        <v>7458542</v>
      </c>
      <c r="J27" s="1128">
        <f>K27+N27</f>
        <v>3901458</v>
      </c>
      <c r="K27" s="1128">
        <f>L27+M27</f>
        <v>3316240</v>
      </c>
      <c r="L27" s="1129">
        <v>3316240</v>
      </c>
      <c r="M27" s="1129">
        <v>0</v>
      </c>
      <c r="N27" s="1128">
        <f>O27+R27+U27</f>
        <v>585218</v>
      </c>
      <c r="O27" s="1128">
        <f>P27+Q27</f>
        <v>0</v>
      </c>
      <c r="P27" s="1129">
        <v>0</v>
      </c>
      <c r="Q27" s="1129">
        <v>0</v>
      </c>
      <c r="R27" s="1128">
        <f>S27+T27</f>
        <v>585218</v>
      </c>
      <c r="S27" s="1129">
        <v>585218</v>
      </c>
      <c r="T27" s="1129">
        <v>0</v>
      </c>
      <c r="U27" s="1128">
        <f>V27+W27</f>
        <v>0</v>
      </c>
      <c r="V27" s="1129">
        <v>0</v>
      </c>
      <c r="W27" s="1129">
        <v>0</v>
      </c>
    </row>
    <row r="28" spans="1:23" s="692" customFormat="1" ht="15.75" hidden="1" customHeight="1">
      <c r="A28" s="1124"/>
      <c r="B28" s="1125"/>
      <c r="C28" s="1126"/>
      <c r="D28" s="1127"/>
      <c r="E28" s="1124"/>
      <c r="F28" s="1124"/>
      <c r="G28" s="1125"/>
      <c r="H28" s="691">
        <v>9656000</v>
      </c>
      <c r="I28" s="691">
        <v>6339760</v>
      </c>
      <c r="J28" s="1128"/>
      <c r="K28" s="1128"/>
      <c r="L28" s="1129"/>
      <c r="M28" s="1129"/>
      <c r="N28" s="1128"/>
      <c r="O28" s="1128"/>
      <c r="P28" s="1129"/>
      <c r="Q28" s="1129"/>
      <c r="R28" s="1128"/>
      <c r="S28" s="1129"/>
      <c r="T28" s="1129"/>
      <c r="U28" s="1128"/>
      <c r="V28" s="1129"/>
      <c r="W28" s="1129"/>
    </row>
    <row r="29" spans="1:23" s="692" customFormat="1" ht="15.75" hidden="1" customHeight="1">
      <c r="A29" s="1124"/>
      <c r="B29" s="1125"/>
      <c r="C29" s="1126"/>
      <c r="D29" s="1127"/>
      <c r="E29" s="1124"/>
      <c r="F29" s="1124"/>
      <c r="G29" s="1125"/>
      <c r="H29" s="691">
        <v>0</v>
      </c>
      <c r="I29" s="691">
        <v>0</v>
      </c>
      <c r="J29" s="693">
        <f>K29+N29</f>
        <v>0</v>
      </c>
      <c r="K29" s="693">
        <f>L29+M29</f>
        <v>0</v>
      </c>
      <c r="L29" s="694">
        <v>0</v>
      </c>
      <c r="M29" s="694">
        <v>0</v>
      </c>
      <c r="N29" s="693">
        <f>O29+R29+U29</f>
        <v>0</v>
      </c>
      <c r="O29" s="693">
        <f>P29+Q29</f>
        <v>0</v>
      </c>
      <c r="P29" s="694">
        <v>0</v>
      </c>
      <c r="Q29" s="694">
        <v>0</v>
      </c>
      <c r="R29" s="693">
        <f>S29+T29</f>
        <v>0</v>
      </c>
      <c r="S29" s="694">
        <v>0</v>
      </c>
      <c r="T29" s="694">
        <v>0</v>
      </c>
      <c r="U29" s="693">
        <f>V29+W29</f>
        <v>0</v>
      </c>
      <c r="V29" s="694">
        <v>0</v>
      </c>
      <c r="W29" s="694">
        <v>0</v>
      </c>
    </row>
    <row r="30" spans="1:23" s="692" customFormat="1" ht="15.75" hidden="1" customHeight="1">
      <c r="A30" s="1124"/>
      <c r="B30" s="1125"/>
      <c r="C30" s="1126"/>
      <c r="D30" s="1127"/>
      <c r="E30" s="1124"/>
      <c r="F30" s="1124"/>
      <c r="G30" s="1125"/>
      <c r="H30" s="691">
        <v>1704000</v>
      </c>
      <c r="I30" s="691">
        <v>1118782</v>
      </c>
      <c r="J30" s="1128">
        <f t="shared" ref="J30:W30" si="2">J27+J29</f>
        <v>3901458</v>
      </c>
      <c r="K30" s="1128">
        <f t="shared" si="2"/>
        <v>3316240</v>
      </c>
      <c r="L30" s="1129">
        <f t="shared" si="2"/>
        <v>3316240</v>
      </c>
      <c r="M30" s="1129">
        <f t="shared" si="2"/>
        <v>0</v>
      </c>
      <c r="N30" s="1128">
        <f t="shared" si="2"/>
        <v>585218</v>
      </c>
      <c r="O30" s="1128">
        <f t="shared" si="2"/>
        <v>0</v>
      </c>
      <c r="P30" s="1129">
        <f t="shared" si="2"/>
        <v>0</v>
      </c>
      <c r="Q30" s="1129">
        <f t="shared" si="2"/>
        <v>0</v>
      </c>
      <c r="R30" s="1128">
        <f t="shared" si="2"/>
        <v>585218</v>
      </c>
      <c r="S30" s="1129">
        <f t="shared" si="2"/>
        <v>585218</v>
      </c>
      <c r="T30" s="1129">
        <f t="shared" si="2"/>
        <v>0</v>
      </c>
      <c r="U30" s="1128">
        <f t="shared" si="2"/>
        <v>0</v>
      </c>
      <c r="V30" s="1129">
        <f t="shared" si="2"/>
        <v>0</v>
      </c>
      <c r="W30" s="1129">
        <f t="shared" si="2"/>
        <v>0</v>
      </c>
    </row>
    <row r="31" spans="1:23" s="692" customFormat="1" ht="15.75" hidden="1" customHeight="1">
      <c r="A31" s="1124"/>
      <c r="B31" s="1125"/>
      <c r="C31" s="1126"/>
      <c r="D31" s="1127"/>
      <c r="E31" s="1124"/>
      <c r="F31" s="1124"/>
      <c r="G31" s="1125"/>
      <c r="H31" s="691">
        <v>0</v>
      </c>
      <c r="I31" s="691">
        <v>0</v>
      </c>
      <c r="J31" s="1128"/>
      <c r="K31" s="1128"/>
      <c r="L31" s="1129"/>
      <c r="M31" s="1129"/>
      <c r="N31" s="1128"/>
      <c r="O31" s="1128"/>
      <c r="P31" s="1129"/>
      <c r="Q31" s="1129"/>
      <c r="R31" s="1128"/>
      <c r="S31" s="1129"/>
      <c r="T31" s="1129"/>
      <c r="U31" s="1128"/>
      <c r="V31" s="1129"/>
      <c r="W31" s="1129"/>
    </row>
    <row r="32" spans="1:23" s="692" customFormat="1" ht="15.75" hidden="1" customHeight="1">
      <c r="A32" s="1124">
        <v>3</v>
      </c>
      <c r="B32" s="1125" t="s">
        <v>730</v>
      </c>
      <c r="C32" s="1126" t="s">
        <v>731</v>
      </c>
      <c r="D32" s="1127" t="s">
        <v>739</v>
      </c>
      <c r="E32" s="1124" t="s">
        <v>733</v>
      </c>
      <c r="F32" s="1124" t="s">
        <v>734</v>
      </c>
      <c r="G32" s="1125" t="s">
        <v>740</v>
      </c>
      <c r="H32" s="691">
        <f>H33+H34+H35+H36</f>
        <v>9743979</v>
      </c>
      <c r="I32" s="691">
        <f>I33+I34+I35+I36</f>
        <v>1899683</v>
      </c>
      <c r="J32" s="1128">
        <f>K32+N32</f>
        <v>2217277</v>
      </c>
      <c r="K32" s="1128">
        <f>L32+M32</f>
        <v>1698133</v>
      </c>
      <c r="L32" s="1129">
        <v>1698133</v>
      </c>
      <c r="M32" s="1129">
        <v>0</v>
      </c>
      <c r="N32" s="1128">
        <f>O32+R32+U32</f>
        <v>519144</v>
      </c>
      <c r="O32" s="1128">
        <f>P32+Q32</f>
        <v>0</v>
      </c>
      <c r="P32" s="1129">
        <v>0</v>
      </c>
      <c r="Q32" s="1129">
        <v>0</v>
      </c>
      <c r="R32" s="1128">
        <f>S32+T32</f>
        <v>519144</v>
      </c>
      <c r="S32" s="1129">
        <v>519144</v>
      </c>
      <c r="T32" s="1129">
        <v>0</v>
      </c>
      <c r="U32" s="1128">
        <f>V32+W32</f>
        <v>0</v>
      </c>
      <c r="V32" s="1129">
        <v>0</v>
      </c>
      <c r="W32" s="1129">
        <v>0</v>
      </c>
    </row>
    <row r="33" spans="1:23" s="692" customFormat="1" ht="15.75" hidden="1" customHeight="1">
      <c r="A33" s="1124"/>
      <c r="B33" s="1125"/>
      <c r="C33" s="1126"/>
      <c r="D33" s="1127"/>
      <c r="E33" s="1124"/>
      <c r="F33" s="1124"/>
      <c r="G33" s="1125"/>
      <c r="H33" s="691">
        <v>8267301</v>
      </c>
      <c r="I33" s="691">
        <v>1380250</v>
      </c>
      <c r="J33" s="1128"/>
      <c r="K33" s="1128"/>
      <c r="L33" s="1129"/>
      <c r="M33" s="1129"/>
      <c r="N33" s="1128"/>
      <c r="O33" s="1128"/>
      <c r="P33" s="1129"/>
      <c r="Q33" s="1129"/>
      <c r="R33" s="1128"/>
      <c r="S33" s="1129"/>
      <c r="T33" s="1129"/>
      <c r="U33" s="1128"/>
      <c r="V33" s="1129"/>
      <c r="W33" s="1129"/>
    </row>
    <row r="34" spans="1:23" s="692" customFormat="1" ht="15.75" hidden="1" customHeight="1">
      <c r="A34" s="1124"/>
      <c r="B34" s="1125"/>
      <c r="C34" s="1126"/>
      <c r="D34" s="1127"/>
      <c r="E34" s="1124"/>
      <c r="F34" s="1124"/>
      <c r="G34" s="1125"/>
      <c r="H34" s="691">
        <v>0</v>
      </c>
      <c r="I34" s="691">
        <v>0</v>
      </c>
      <c r="J34" s="693">
        <f>K34+N34</f>
        <v>0</v>
      </c>
      <c r="K34" s="693">
        <f>L34+M34</f>
        <v>0</v>
      </c>
      <c r="L34" s="694">
        <v>0</v>
      </c>
      <c r="M34" s="694">
        <v>0</v>
      </c>
      <c r="N34" s="693">
        <f>O34+R34+U34</f>
        <v>0</v>
      </c>
      <c r="O34" s="693">
        <f>P34+Q34</f>
        <v>0</v>
      </c>
      <c r="P34" s="694">
        <v>0</v>
      </c>
      <c r="Q34" s="694">
        <v>0</v>
      </c>
      <c r="R34" s="693">
        <f>S34+T34</f>
        <v>0</v>
      </c>
      <c r="S34" s="694">
        <v>0</v>
      </c>
      <c r="T34" s="694">
        <v>0</v>
      </c>
      <c r="U34" s="693">
        <f>V34+W34</f>
        <v>0</v>
      </c>
      <c r="V34" s="694">
        <v>0</v>
      </c>
      <c r="W34" s="694">
        <v>0</v>
      </c>
    </row>
    <row r="35" spans="1:23" s="692" customFormat="1" ht="15.75" hidden="1" customHeight="1">
      <c r="A35" s="1124"/>
      <c r="B35" s="1125"/>
      <c r="C35" s="1126"/>
      <c r="D35" s="1127"/>
      <c r="E35" s="1124"/>
      <c r="F35" s="1124"/>
      <c r="G35" s="1125"/>
      <c r="H35" s="691">
        <v>1476678</v>
      </c>
      <c r="I35" s="691">
        <v>519433</v>
      </c>
      <c r="J35" s="1128">
        <f t="shared" ref="J35:W35" si="3">J32+J34</f>
        <v>2217277</v>
      </c>
      <c r="K35" s="1128">
        <f t="shared" si="3"/>
        <v>1698133</v>
      </c>
      <c r="L35" s="1129">
        <f t="shared" si="3"/>
        <v>1698133</v>
      </c>
      <c r="M35" s="1129">
        <f t="shared" si="3"/>
        <v>0</v>
      </c>
      <c r="N35" s="1128">
        <f t="shared" si="3"/>
        <v>519144</v>
      </c>
      <c r="O35" s="1128">
        <f t="shared" si="3"/>
        <v>0</v>
      </c>
      <c r="P35" s="1129">
        <f t="shared" si="3"/>
        <v>0</v>
      </c>
      <c r="Q35" s="1129">
        <f t="shared" si="3"/>
        <v>0</v>
      </c>
      <c r="R35" s="1128">
        <f t="shared" si="3"/>
        <v>519144</v>
      </c>
      <c r="S35" s="1129">
        <f t="shared" si="3"/>
        <v>519144</v>
      </c>
      <c r="T35" s="1129">
        <f t="shared" si="3"/>
        <v>0</v>
      </c>
      <c r="U35" s="1128">
        <f t="shared" si="3"/>
        <v>0</v>
      </c>
      <c r="V35" s="1129">
        <f t="shared" si="3"/>
        <v>0</v>
      </c>
      <c r="W35" s="1129">
        <f t="shared" si="3"/>
        <v>0</v>
      </c>
    </row>
    <row r="36" spans="1:23" s="692" customFormat="1" ht="2.25" hidden="1" customHeight="1">
      <c r="A36" s="1124"/>
      <c r="B36" s="1125"/>
      <c r="C36" s="1126"/>
      <c r="D36" s="1127"/>
      <c r="E36" s="1124"/>
      <c r="F36" s="1124"/>
      <c r="G36" s="1125"/>
      <c r="H36" s="691">
        <v>0</v>
      </c>
      <c r="I36" s="691"/>
      <c r="J36" s="1128"/>
      <c r="K36" s="1128"/>
      <c r="L36" s="1129"/>
      <c r="M36" s="1129"/>
      <c r="N36" s="1128"/>
      <c r="O36" s="1128"/>
      <c r="P36" s="1129"/>
      <c r="Q36" s="1129"/>
      <c r="R36" s="1128"/>
      <c r="S36" s="1129"/>
      <c r="T36" s="1129"/>
      <c r="U36" s="1128"/>
      <c r="V36" s="1129"/>
      <c r="W36" s="1129"/>
    </row>
    <row r="37" spans="1:23" s="692" customFormat="1" ht="15.75" customHeight="1">
      <c r="A37" s="1124">
        <v>1</v>
      </c>
      <c r="B37" s="1126" t="s">
        <v>741</v>
      </c>
      <c r="C37" s="1126" t="s">
        <v>742</v>
      </c>
      <c r="D37" s="1127" t="s">
        <v>743</v>
      </c>
      <c r="E37" s="1124" t="s">
        <v>733</v>
      </c>
      <c r="F37" s="1124" t="s">
        <v>744</v>
      </c>
      <c r="G37" s="1125">
        <v>2020</v>
      </c>
      <c r="H37" s="691">
        <f>H38+H39+H40+H41</f>
        <v>6240000</v>
      </c>
      <c r="I37" s="691">
        <f>I38+I39+I40+I41</f>
        <v>0</v>
      </c>
      <c r="J37" s="1128">
        <f>K37+N37</f>
        <v>0</v>
      </c>
      <c r="K37" s="1128">
        <f>L37+M37</f>
        <v>0</v>
      </c>
      <c r="L37" s="1129">
        <v>0</v>
      </c>
      <c r="M37" s="1129">
        <v>0</v>
      </c>
      <c r="N37" s="1128">
        <f>O37+R37+U37</f>
        <v>0</v>
      </c>
      <c r="O37" s="1128">
        <f>P37+Q37</f>
        <v>0</v>
      </c>
      <c r="P37" s="1129">
        <v>0</v>
      </c>
      <c r="Q37" s="1129">
        <v>0</v>
      </c>
      <c r="R37" s="1128">
        <f>S37+T37</f>
        <v>0</v>
      </c>
      <c r="S37" s="1129">
        <v>0</v>
      </c>
      <c r="T37" s="1129">
        <v>0</v>
      </c>
      <c r="U37" s="1128">
        <f>V37+W37</f>
        <v>0</v>
      </c>
      <c r="V37" s="1129">
        <v>0</v>
      </c>
      <c r="W37" s="1129">
        <v>0</v>
      </c>
    </row>
    <row r="38" spans="1:23" s="692" customFormat="1" ht="15.75" customHeight="1">
      <c r="A38" s="1124"/>
      <c r="B38" s="1126"/>
      <c r="C38" s="1126"/>
      <c r="D38" s="1127"/>
      <c r="E38" s="1124"/>
      <c r="F38" s="1124"/>
      <c r="G38" s="1125"/>
      <c r="H38" s="691">
        <v>6240000</v>
      </c>
      <c r="I38" s="691">
        <v>0</v>
      </c>
      <c r="J38" s="1128"/>
      <c r="K38" s="1128"/>
      <c r="L38" s="1129"/>
      <c r="M38" s="1129"/>
      <c r="N38" s="1128"/>
      <c r="O38" s="1128"/>
      <c r="P38" s="1129"/>
      <c r="Q38" s="1129"/>
      <c r="R38" s="1128"/>
      <c r="S38" s="1129"/>
      <c r="T38" s="1129"/>
      <c r="U38" s="1128"/>
      <c r="V38" s="1129"/>
      <c r="W38" s="1129"/>
    </row>
    <row r="39" spans="1:23" s="692" customFormat="1" ht="15.75" customHeight="1">
      <c r="A39" s="1124"/>
      <c r="B39" s="1126"/>
      <c r="C39" s="1126"/>
      <c r="D39" s="1127"/>
      <c r="E39" s="1124"/>
      <c r="F39" s="1124"/>
      <c r="G39" s="1125"/>
      <c r="H39" s="691">
        <v>0</v>
      </c>
      <c r="I39" s="691">
        <v>0</v>
      </c>
      <c r="J39" s="693">
        <f>K39+N39</f>
        <v>6240000</v>
      </c>
      <c r="K39" s="693">
        <f>L39+M39</f>
        <v>6240000</v>
      </c>
      <c r="L39" s="694">
        <v>6240000</v>
      </c>
      <c r="M39" s="694">
        <v>0</v>
      </c>
      <c r="N39" s="693">
        <f>O39+R39+U39</f>
        <v>0</v>
      </c>
      <c r="O39" s="693">
        <f>P39+Q39</f>
        <v>0</v>
      </c>
      <c r="P39" s="694">
        <v>0</v>
      </c>
      <c r="Q39" s="694">
        <v>0</v>
      </c>
      <c r="R39" s="693">
        <f>S39+T39</f>
        <v>0</v>
      </c>
      <c r="S39" s="694">
        <v>0</v>
      </c>
      <c r="T39" s="694">
        <v>0</v>
      </c>
      <c r="U39" s="693">
        <f>V39+W39</f>
        <v>0</v>
      </c>
      <c r="V39" s="694">
        <v>0</v>
      </c>
      <c r="W39" s="694">
        <v>0</v>
      </c>
    </row>
    <row r="40" spans="1:23" s="692" customFormat="1" ht="15.75" customHeight="1">
      <c r="A40" s="1124"/>
      <c r="B40" s="1126"/>
      <c r="C40" s="1126"/>
      <c r="D40" s="1127"/>
      <c r="E40" s="1124"/>
      <c r="F40" s="1124"/>
      <c r="G40" s="1125"/>
      <c r="H40" s="691">
        <v>0</v>
      </c>
      <c r="I40" s="691">
        <v>0</v>
      </c>
      <c r="J40" s="1128">
        <f t="shared" ref="J40:W40" si="4">J37+J39</f>
        <v>6240000</v>
      </c>
      <c r="K40" s="1128">
        <f t="shared" si="4"/>
        <v>6240000</v>
      </c>
      <c r="L40" s="1129">
        <f t="shared" si="4"/>
        <v>6240000</v>
      </c>
      <c r="M40" s="1129">
        <f t="shared" si="4"/>
        <v>0</v>
      </c>
      <c r="N40" s="1128">
        <f t="shared" si="4"/>
        <v>0</v>
      </c>
      <c r="O40" s="1128">
        <f t="shared" si="4"/>
        <v>0</v>
      </c>
      <c r="P40" s="1129">
        <f t="shared" si="4"/>
        <v>0</v>
      </c>
      <c r="Q40" s="1129">
        <f t="shared" si="4"/>
        <v>0</v>
      </c>
      <c r="R40" s="1128">
        <f t="shared" si="4"/>
        <v>0</v>
      </c>
      <c r="S40" s="1129">
        <f t="shared" si="4"/>
        <v>0</v>
      </c>
      <c r="T40" s="1129">
        <f t="shared" si="4"/>
        <v>0</v>
      </c>
      <c r="U40" s="1128">
        <f t="shared" si="4"/>
        <v>0</v>
      </c>
      <c r="V40" s="1129">
        <f t="shared" si="4"/>
        <v>0</v>
      </c>
      <c r="W40" s="1129">
        <f t="shared" si="4"/>
        <v>0</v>
      </c>
    </row>
    <row r="41" spans="1:23" s="692" customFormat="1" ht="15.75" customHeight="1">
      <c r="A41" s="1124"/>
      <c r="B41" s="1126"/>
      <c r="C41" s="1126"/>
      <c r="D41" s="1127"/>
      <c r="E41" s="1124"/>
      <c r="F41" s="1124"/>
      <c r="G41" s="1125"/>
      <c r="H41" s="691">
        <v>0</v>
      </c>
      <c r="I41" s="691"/>
      <c r="J41" s="1128"/>
      <c r="K41" s="1128"/>
      <c r="L41" s="1129"/>
      <c r="M41" s="1129"/>
      <c r="N41" s="1128"/>
      <c r="O41" s="1128"/>
      <c r="P41" s="1129"/>
      <c r="Q41" s="1129"/>
      <c r="R41" s="1128"/>
      <c r="S41" s="1129"/>
      <c r="T41" s="1129"/>
      <c r="U41" s="1128"/>
      <c r="V41" s="1129"/>
      <c r="W41" s="1129"/>
    </row>
    <row r="42" spans="1:23" s="692" customFormat="1" ht="15.75" hidden="1" customHeight="1">
      <c r="A42" s="1124">
        <v>4</v>
      </c>
      <c r="B42" s="1130" t="s">
        <v>646</v>
      </c>
      <c r="C42" s="1133" t="s">
        <v>745</v>
      </c>
      <c r="D42" s="1136" t="s">
        <v>746</v>
      </c>
      <c r="E42" s="1124" t="s">
        <v>733</v>
      </c>
      <c r="F42" s="1139" t="s">
        <v>747</v>
      </c>
      <c r="G42" s="1130" t="s">
        <v>735</v>
      </c>
      <c r="H42" s="691">
        <f>H43+H44+H45+H46</f>
        <v>113069501</v>
      </c>
      <c r="I42" s="691">
        <f>I43+I44+I45+I46</f>
        <v>19599689</v>
      </c>
      <c r="J42" s="1128">
        <f>K42+N42</f>
        <v>41444499</v>
      </c>
      <c r="K42" s="1128">
        <f>L42+M42</f>
        <v>40426598</v>
      </c>
      <c r="L42" s="1129">
        <v>1437918</v>
      </c>
      <c r="M42" s="1129">
        <v>38988680</v>
      </c>
      <c r="N42" s="1128">
        <f>O42+R42+U42</f>
        <v>1017901</v>
      </c>
      <c r="O42" s="1128">
        <f>P42+Q42</f>
        <v>0</v>
      </c>
      <c r="P42" s="1129">
        <v>0</v>
      </c>
      <c r="Q42" s="1129">
        <v>0</v>
      </c>
      <c r="R42" s="1128">
        <f>S42+T42</f>
        <v>959901</v>
      </c>
      <c r="S42" s="1129">
        <v>195752</v>
      </c>
      <c r="T42" s="1129">
        <v>764149</v>
      </c>
      <c r="U42" s="1128">
        <f>V42+W42</f>
        <v>58000</v>
      </c>
      <c r="V42" s="1129">
        <v>58000</v>
      </c>
      <c r="W42" s="1129">
        <v>0</v>
      </c>
    </row>
    <row r="43" spans="1:23" s="692" customFormat="1" ht="15.75" hidden="1" customHeight="1">
      <c r="A43" s="1124"/>
      <c r="B43" s="1131"/>
      <c r="C43" s="1134"/>
      <c r="D43" s="1137"/>
      <c r="E43" s="1124"/>
      <c r="F43" s="1140"/>
      <c r="G43" s="1131"/>
      <c r="H43" s="691">
        <v>109055000</v>
      </c>
      <c r="I43" s="691">
        <v>18217323</v>
      </c>
      <c r="J43" s="1128"/>
      <c r="K43" s="1128"/>
      <c r="L43" s="1129"/>
      <c r="M43" s="1129"/>
      <c r="N43" s="1128"/>
      <c r="O43" s="1128"/>
      <c r="P43" s="1129"/>
      <c r="Q43" s="1129"/>
      <c r="R43" s="1128"/>
      <c r="S43" s="1129"/>
      <c r="T43" s="1129"/>
      <c r="U43" s="1128"/>
      <c r="V43" s="1129"/>
      <c r="W43" s="1129"/>
    </row>
    <row r="44" spans="1:23" s="692" customFormat="1" ht="15.75" hidden="1" customHeight="1">
      <c r="A44" s="1124"/>
      <c r="B44" s="1131"/>
      <c r="C44" s="1134"/>
      <c r="D44" s="1137"/>
      <c r="E44" s="1124"/>
      <c r="F44" s="1140"/>
      <c r="G44" s="1131"/>
      <c r="H44" s="691">
        <v>0</v>
      </c>
      <c r="I44" s="691">
        <v>0</v>
      </c>
      <c r="J44" s="693">
        <f>K44+N44</f>
        <v>0</v>
      </c>
      <c r="K44" s="693">
        <f>L44+M44</f>
        <v>0</v>
      </c>
      <c r="L44" s="694">
        <v>0</v>
      </c>
      <c r="M44" s="694">
        <v>0</v>
      </c>
      <c r="N44" s="693">
        <f>O44+R44+U44</f>
        <v>0</v>
      </c>
      <c r="O44" s="693">
        <f>P44+Q44</f>
        <v>0</v>
      </c>
      <c r="P44" s="694">
        <v>0</v>
      </c>
      <c r="Q44" s="694">
        <v>0</v>
      </c>
      <c r="R44" s="693">
        <f>S44+T44</f>
        <v>0</v>
      </c>
      <c r="S44" s="694">
        <v>0</v>
      </c>
      <c r="T44" s="694">
        <v>0</v>
      </c>
      <c r="U44" s="693">
        <f>V44+W44</f>
        <v>0</v>
      </c>
      <c r="V44" s="694">
        <v>0</v>
      </c>
      <c r="W44" s="694">
        <v>0</v>
      </c>
    </row>
    <row r="45" spans="1:23" s="692" customFormat="1" ht="15.75" hidden="1" customHeight="1">
      <c r="A45" s="1124"/>
      <c r="B45" s="1131"/>
      <c r="C45" s="1134"/>
      <c r="D45" s="1137"/>
      <c r="E45" s="1124"/>
      <c r="F45" s="1140"/>
      <c r="G45" s="1131"/>
      <c r="H45" s="691">
        <v>3730066</v>
      </c>
      <c r="I45" s="691">
        <v>1342827</v>
      </c>
      <c r="J45" s="1128">
        <f t="shared" ref="J45:W45" si="5">J42+J44</f>
        <v>41444499</v>
      </c>
      <c r="K45" s="1128">
        <f t="shared" si="5"/>
        <v>40426598</v>
      </c>
      <c r="L45" s="1129">
        <f t="shared" si="5"/>
        <v>1437918</v>
      </c>
      <c r="M45" s="1129">
        <f t="shared" si="5"/>
        <v>38988680</v>
      </c>
      <c r="N45" s="1128">
        <f t="shared" si="5"/>
        <v>1017901</v>
      </c>
      <c r="O45" s="1128">
        <f t="shared" si="5"/>
        <v>0</v>
      </c>
      <c r="P45" s="1129">
        <f t="shared" si="5"/>
        <v>0</v>
      </c>
      <c r="Q45" s="1129">
        <f t="shared" si="5"/>
        <v>0</v>
      </c>
      <c r="R45" s="1128">
        <f t="shared" si="5"/>
        <v>959901</v>
      </c>
      <c r="S45" s="1129">
        <f t="shared" si="5"/>
        <v>195752</v>
      </c>
      <c r="T45" s="1129">
        <f t="shared" si="5"/>
        <v>764149</v>
      </c>
      <c r="U45" s="1128">
        <f t="shared" si="5"/>
        <v>58000</v>
      </c>
      <c r="V45" s="1129">
        <f t="shared" si="5"/>
        <v>58000</v>
      </c>
      <c r="W45" s="1129">
        <f t="shared" si="5"/>
        <v>0</v>
      </c>
    </row>
    <row r="46" spans="1:23" s="692" customFormat="1" ht="15.75" hidden="1" customHeight="1">
      <c r="A46" s="1124"/>
      <c r="B46" s="1132"/>
      <c r="C46" s="1135"/>
      <c r="D46" s="1138"/>
      <c r="E46" s="1124"/>
      <c r="F46" s="1141"/>
      <c r="G46" s="1132"/>
      <c r="H46" s="691">
        <v>284435</v>
      </c>
      <c r="I46" s="691">
        <v>39539</v>
      </c>
      <c r="J46" s="1128"/>
      <c r="K46" s="1128"/>
      <c r="L46" s="1129"/>
      <c r="M46" s="1129"/>
      <c r="N46" s="1128"/>
      <c r="O46" s="1128"/>
      <c r="P46" s="1129"/>
      <c r="Q46" s="1129"/>
      <c r="R46" s="1128"/>
      <c r="S46" s="1129"/>
      <c r="T46" s="1129"/>
      <c r="U46" s="1128"/>
      <c r="V46" s="1129"/>
      <c r="W46" s="1129"/>
    </row>
    <row r="47" spans="1:23" s="692" customFormat="1" ht="15.75" hidden="1" customHeight="1">
      <c r="A47" s="1124">
        <v>5</v>
      </c>
      <c r="B47" s="1130" t="s">
        <v>646</v>
      </c>
      <c r="C47" s="1133" t="s">
        <v>745</v>
      </c>
      <c r="D47" s="1136" t="s">
        <v>748</v>
      </c>
      <c r="E47" s="1124" t="s">
        <v>733</v>
      </c>
      <c r="F47" s="1139" t="s">
        <v>747</v>
      </c>
      <c r="G47" s="1130" t="s">
        <v>735</v>
      </c>
      <c r="H47" s="691">
        <f>H48+H49+H50+H51</f>
        <v>75482617</v>
      </c>
      <c r="I47" s="691">
        <f>I48+I49+I50+I51</f>
        <v>27464242</v>
      </c>
      <c r="J47" s="1128">
        <f>K47+N47</f>
        <v>13337701</v>
      </c>
      <c r="K47" s="1128">
        <f>L47+M47</f>
        <v>13137046</v>
      </c>
      <c r="L47" s="1129">
        <v>1137046</v>
      </c>
      <c r="M47" s="1129">
        <v>12000000</v>
      </c>
      <c r="N47" s="1128">
        <f>O47+R47+U47</f>
        <v>200655</v>
      </c>
      <c r="O47" s="1128">
        <f>P47+Q47</f>
        <v>0</v>
      </c>
      <c r="P47" s="1129">
        <v>0</v>
      </c>
      <c r="Q47" s="1129">
        <v>0</v>
      </c>
      <c r="R47" s="1128">
        <f>S47+T47</f>
        <v>200655</v>
      </c>
      <c r="S47" s="1129">
        <v>200655</v>
      </c>
      <c r="T47" s="1129">
        <v>0</v>
      </c>
      <c r="U47" s="1128">
        <f>V47+W47</f>
        <v>0</v>
      </c>
      <c r="V47" s="1129">
        <v>0</v>
      </c>
      <c r="W47" s="1129">
        <v>0</v>
      </c>
    </row>
    <row r="48" spans="1:23" s="692" customFormat="1" ht="15.75" hidden="1" customHeight="1">
      <c r="A48" s="1124"/>
      <c r="B48" s="1131"/>
      <c r="C48" s="1134"/>
      <c r="D48" s="1137"/>
      <c r="E48" s="1124"/>
      <c r="F48" s="1140"/>
      <c r="G48" s="1131"/>
      <c r="H48" s="691">
        <v>72842122</v>
      </c>
      <c r="I48" s="691">
        <v>27066574</v>
      </c>
      <c r="J48" s="1128"/>
      <c r="K48" s="1128"/>
      <c r="L48" s="1129"/>
      <c r="M48" s="1129"/>
      <c r="N48" s="1128"/>
      <c r="O48" s="1128"/>
      <c r="P48" s="1129"/>
      <c r="Q48" s="1129"/>
      <c r="R48" s="1128"/>
      <c r="S48" s="1129"/>
      <c r="T48" s="1129"/>
      <c r="U48" s="1128"/>
      <c r="V48" s="1129"/>
      <c r="W48" s="1129"/>
    </row>
    <row r="49" spans="1:23" s="692" customFormat="1" ht="15.75" hidden="1" customHeight="1">
      <c r="A49" s="1124"/>
      <c r="B49" s="1131"/>
      <c r="C49" s="1134"/>
      <c r="D49" s="1137"/>
      <c r="E49" s="1124"/>
      <c r="F49" s="1140"/>
      <c r="G49" s="1131"/>
      <c r="H49" s="691">
        <v>0</v>
      </c>
      <c r="I49" s="691">
        <v>0</v>
      </c>
      <c r="J49" s="693">
        <f>K49+N49</f>
        <v>0</v>
      </c>
      <c r="K49" s="693">
        <f>L49+M49</f>
        <v>0</v>
      </c>
      <c r="L49" s="694">
        <v>0</v>
      </c>
      <c r="M49" s="694">
        <v>0</v>
      </c>
      <c r="N49" s="693">
        <f>O49+R49+U49</f>
        <v>0</v>
      </c>
      <c r="O49" s="693">
        <f>P49+Q49</f>
        <v>0</v>
      </c>
      <c r="P49" s="694">
        <v>0</v>
      </c>
      <c r="Q49" s="694">
        <v>0</v>
      </c>
      <c r="R49" s="693">
        <f>S49+T49</f>
        <v>0</v>
      </c>
      <c r="S49" s="694">
        <v>0</v>
      </c>
      <c r="T49" s="694">
        <v>0</v>
      </c>
      <c r="U49" s="693">
        <f>V49+W49</f>
        <v>0</v>
      </c>
      <c r="V49" s="694">
        <v>0</v>
      </c>
      <c r="W49" s="694">
        <v>0</v>
      </c>
    </row>
    <row r="50" spans="1:23" s="692" customFormat="1" ht="15.75" hidden="1" customHeight="1">
      <c r="A50" s="1124"/>
      <c r="B50" s="1131"/>
      <c r="C50" s="1134"/>
      <c r="D50" s="1137"/>
      <c r="E50" s="1124"/>
      <c r="F50" s="1140"/>
      <c r="G50" s="1131"/>
      <c r="H50" s="691">
        <v>2640495</v>
      </c>
      <c r="I50" s="691">
        <v>397668</v>
      </c>
      <c r="J50" s="1128">
        <f t="shared" ref="J50:W50" si="6">J47+J49</f>
        <v>13337701</v>
      </c>
      <c r="K50" s="1128">
        <f t="shared" si="6"/>
        <v>13137046</v>
      </c>
      <c r="L50" s="1129">
        <f t="shared" si="6"/>
        <v>1137046</v>
      </c>
      <c r="M50" s="1129">
        <f t="shared" si="6"/>
        <v>12000000</v>
      </c>
      <c r="N50" s="1128">
        <f t="shared" si="6"/>
        <v>200655</v>
      </c>
      <c r="O50" s="1128">
        <f t="shared" si="6"/>
        <v>0</v>
      </c>
      <c r="P50" s="1129">
        <f t="shared" si="6"/>
        <v>0</v>
      </c>
      <c r="Q50" s="1129">
        <f t="shared" si="6"/>
        <v>0</v>
      </c>
      <c r="R50" s="1128">
        <f t="shared" si="6"/>
        <v>200655</v>
      </c>
      <c r="S50" s="1129">
        <f t="shared" si="6"/>
        <v>200655</v>
      </c>
      <c r="T50" s="1129">
        <f t="shared" si="6"/>
        <v>0</v>
      </c>
      <c r="U50" s="1128">
        <f t="shared" si="6"/>
        <v>0</v>
      </c>
      <c r="V50" s="1129">
        <f t="shared" si="6"/>
        <v>0</v>
      </c>
      <c r="W50" s="1129">
        <f t="shared" si="6"/>
        <v>0</v>
      </c>
    </row>
    <row r="51" spans="1:23" s="692" customFormat="1" ht="15.75" hidden="1" customHeight="1">
      <c r="A51" s="1124"/>
      <c r="B51" s="1132"/>
      <c r="C51" s="1135"/>
      <c r="D51" s="1138"/>
      <c r="E51" s="1124"/>
      <c r="F51" s="1141"/>
      <c r="G51" s="1132"/>
      <c r="H51" s="691">
        <v>0</v>
      </c>
      <c r="I51" s="691">
        <v>0</v>
      </c>
      <c r="J51" s="1128"/>
      <c r="K51" s="1128"/>
      <c r="L51" s="1129"/>
      <c r="M51" s="1129"/>
      <c r="N51" s="1128"/>
      <c r="O51" s="1128"/>
      <c r="P51" s="1129"/>
      <c r="Q51" s="1129"/>
      <c r="R51" s="1128"/>
      <c r="S51" s="1129"/>
      <c r="T51" s="1129"/>
      <c r="U51" s="1128"/>
      <c r="V51" s="1129"/>
      <c r="W51" s="1129"/>
    </row>
    <row r="52" spans="1:23" s="692" customFormat="1" ht="15.75" hidden="1" customHeight="1">
      <c r="A52" s="1124">
        <v>6</v>
      </c>
      <c r="B52" s="1130" t="s">
        <v>646</v>
      </c>
      <c r="C52" s="1133" t="s">
        <v>745</v>
      </c>
      <c r="D52" s="1136" t="s">
        <v>749</v>
      </c>
      <c r="E52" s="1124" t="s">
        <v>733</v>
      </c>
      <c r="F52" s="1139" t="s">
        <v>747</v>
      </c>
      <c r="G52" s="1130" t="s">
        <v>750</v>
      </c>
      <c r="H52" s="691">
        <f>H53+H54+H55+H56</f>
        <v>21697885</v>
      </c>
      <c r="I52" s="691">
        <f>I53+I54+I55+I56</f>
        <v>0</v>
      </c>
      <c r="J52" s="1128">
        <f>K52+N52</f>
        <v>5263918</v>
      </c>
      <c r="K52" s="1128">
        <f>L52+M52</f>
        <v>5224330</v>
      </c>
      <c r="L52" s="1129">
        <v>224330</v>
      </c>
      <c r="M52" s="1129">
        <v>5000000</v>
      </c>
      <c r="N52" s="1128">
        <f>O52+R52+U52</f>
        <v>39588</v>
      </c>
      <c r="O52" s="1128">
        <f>P52+Q52</f>
        <v>0</v>
      </c>
      <c r="P52" s="1129">
        <v>0</v>
      </c>
      <c r="Q52" s="1129">
        <v>0</v>
      </c>
      <c r="R52" s="1128">
        <f>S52+T52</f>
        <v>39588</v>
      </c>
      <c r="S52" s="1129">
        <v>39588</v>
      </c>
      <c r="T52" s="1129">
        <v>0</v>
      </c>
      <c r="U52" s="1128">
        <f>V52+W52</f>
        <v>0</v>
      </c>
      <c r="V52" s="1129">
        <v>0</v>
      </c>
      <c r="W52" s="1129">
        <v>0</v>
      </c>
    </row>
    <row r="53" spans="1:23" s="692" customFormat="1" ht="15.75" hidden="1" customHeight="1">
      <c r="A53" s="1124"/>
      <c r="B53" s="1131"/>
      <c r="C53" s="1134"/>
      <c r="D53" s="1137"/>
      <c r="E53" s="1124"/>
      <c r="F53" s="1140"/>
      <c r="G53" s="1131"/>
      <c r="H53" s="691">
        <v>21496495</v>
      </c>
      <c r="I53" s="691">
        <v>0</v>
      </c>
      <c r="J53" s="1128"/>
      <c r="K53" s="1128"/>
      <c r="L53" s="1129"/>
      <c r="M53" s="1129"/>
      <c r="N53" s="1128"/>
      <c r="O53" s="1128"/>
      <c r="P53" s="1129"/>
      <c r="Q53" s="1129"/>
      <c r="R53" s="1128"/>
      <c r="S53" s="1129"/>
      <c r="T53" s="1129"/>
      <c r="U53" s="1128"/>
      <c r="V53" s="1129"/>
      <c r="W53" s="1129"/>
    </row>
    <row r="54" spans="1:23" s="692" customFormat="1" ht="15.75" hidden="1" customHeight="1">
      <c r="A54" s="1124"/>
      <c r="B54" s="1131"/>
      <c r="C54" s="1134"/>
      <c r="D54" s="1137"/>
      <c r="E54" s="1124"/>
      <c r="F54" s="1140"/>
      <c r="G54" s="1131"/>
      <c r="H54" s="691">
        <v>0</v>
      </c>
      <c r="I54" s="691">
        <v>0</v>
      </c>
      <c r="J54" s="693">
        <f>K54+N54</f>
        <v>0</v>
      </c>
      <c r="K54" s="693">
        <f>L54+M54</f>
        <v>0</v>
      </c>
      <c r="L54" s="694">
        <v>0</v>
      </c>
      <c r="M54" s="694">
        <v>0</v>
      </c>
      <c r="N54" s="693">
        <f>O54+R54+U54</f>
        <v>0</v>
      </c>
      <c r="O54" s="693">
        <f>P54+Q54</f>
        <v>0</v>
      </c>
      <c r="P54" s="694">
        <v>0</v>
      </c>
      <c r="Q54" s="694">
        <v>0</v>
      </c>
      <c r="R54" s="693">
        <f>S54+T54</f>
        <v>0</v>
      </c>
      <c r="S54" s="694">
        <v>0</v>
      </c>
      <c r="T54" s="694">
        <v>0</v>
      </c>
      <c r="U54" s="693">
        <f>V54+W54</f>
        <v>0</v>
      </c>
      <c r="V54" s="694">
        <v>0</v>
      </c>
      <c r="W54" s="694">
        <v>0</v>
      </c>
    </row>
    <row r="55" spans="1:23" s="692" customFormat="1" ht="15.75" hidden="1" customHeight="1">
      <c r="A55" s="1124"/>
      <c r="B55" s="1131"/>
      <c r="C55" s="1134"/>
      <c r="D55" s="1137"/>
      <c r="E55" s="1124"/>
      <c r="F55" s="1140"/>
      <c r="G55" s="1131"/>
      <c r="H55" s="691">
        <v>201390</v>
      </c>
      <c r="I55" s="691">
        <v>0</v>
      </c>
      <c r="J55" s="1128">
        <f t="shared" ref="J55:W55" si="7">J52+J54</f>
        <v>5263918</v>
      </c>
      <c r="K55" s="1128">
        <f t="shared" si="7"/>
        <v>5224330</v>
      </c>
      <c r="L55" s="1129">
        <f t="shared" si="7"/>
        <v>224330</v>
      </c>
      <c r="M55" s="1129">
        <f t="shared" si="7"/>
        <v>5000000</v>
      </c>
      <c r="N55" s="1128">
        <f t="shared" si="7"/>
        <v>39588</v>
      </c>
      <c r="O55" s="1128">
        <f t="shared" si="7"/>
        <v>0</v>
      </c>
      <c r="P55" s="1129">
        <f t="shared" si="7"/>
        <v>0</v>
      </c>
      <c r="Q55" s="1129">
        <f t="shared" si="7"/>
        <v>0</v>
      </c>
      <c r="R55" s="1128">
        <f t="shared" si="7"/>
        <v>39588</v>
      </c>
      <c r="S55" s="1129">
        <f t="shared" si="7"/>
        <v>39588</v>
      </c>
      <c r="T55" s="1129">
        <f t="shared" si="7"/>
        <v>0</v>
      </c>
      <c r="U55" s="1128">
        <f t="shared" si="7"/>
        <v>0</v>
      </c>
      <c r="V55" s="1129">
        <f t="shared" si="7"/>
        <v>0</v>
      </c>
      <c r="W55" s="1129">
        <f t="shared" si="7"/>
        <v>0</v>
      </c>
    </row>
    <row r="56" spans="1:23" s="692" customFormat="1" ht="15.75" hidden="1" customHeight="1">
      <c r="A56" s="1124"/>
      <c r="B56" s="1132"/>
      <c r="C56" s="1135"/>
      <c r="D56" s="1138"/>
      <c r="E56" s="1124"/>
      <c r="F56" s="1141"/>
      <c r="G56" s="1132"/>
      <c r="H56" s="691">
        <v>0</v>
      </c>
      <c r="I56" s="691">
        <v>0</v>
      </c>
      <c r="J56" s="1128"/>
      <c r="K56" s="1128"/>
      <c r="L56" s="1129"/>
      <c r="M56" s="1129"/>
      <c r="N56" s="1128"/>
      <c r="O56" s="1128"/>
      <c r="P56" s="1129"/>
      <c r="Q56" s="1129"/>
      <c r="R56" s="1128"/>
      <c r="S56" s="1129"/>
      <c r="T56" s="1129"/>
      <c r="U56" s="1128"/>
      <c r="V56" s="1129"/>
      <c r="W56" s="1129"/>
    </row>
    <row r="57" spans="1:23" s="692" customFormat="1" ht="17.25" hidden="1" customHeight="1">
      <c r="A57" s="1124">
        <v>7</v>
      </c>
      <c r="B57" s="1130" t="s">
        <v>652</v>
      </c>
      <c r="C57" s="1133" t="s">
        <v>751</v>
      </c>
      <c r="D57" s="1136" t="s">
        <v>752</v>
      </c>
      <c r="E57" s="1124" t="s">
        <v>733</v>
      </c>
      <c r="F57" s="1139" t="s">
        <v>747</v>
      </c>
      <c r="G57" s="1130" t="s">
        <v>735</v>
      </c>
      <c r="H57" s="691">
        <f>H58+H59+H60+H61</f>
        <v>22825770</v>
      </c>
      <c r="I57" s="691">
        <f>I58+I59+I60+I61</f>
        <v>4940584</v>
      </c>
      <c r="J57" s="1128">
        <f>K57+N57</f>
        <v>8562685</v>
      </c>
      <c r="K57" s="1128">
        <f>L57+M57</f>
        <v>8258995</v>
      </c>
      <c r="L57" s="1129">
        <v>666345</v>
      </c>
      <c r="M57" s="1129">
        <v>7592650</v>
      </c>
      <c r="N57" s="1128">
        <f>O57+R57+U57</f>
        <v>303690</v>
      </c>
      <c r="O57" s="1128">
        <f>P57+Q57</f>
        <v>0</v>
      </c>
      <c r="P57" s="1129">
        <v>0</v>
      </c>
      <c r="Q57" s="1129">
        <v>0</v>
      </c>
      <c r="R57" s="1128">
        <f>S57+T57</f>
        <v>278452</v>
      </c>
      <c r="S57" s="1129">
        <v>117590</v>
      </c>
      <c r="T57" s="1129">
        <v>160862</v>
      </c>
      <c r="U57" s="1128">
        <f>V57+W57</f>
        <v>25238</v>
      </c>
      <c r="V57" s="1129">
        <v>0</v>
      </c>
      <c r="W57" s="1129">
        <v>25238</v>
      </c>
    </row>
    <row r="58" spans="1:23" s="692" customFormat="1" ht="17.25" hidden="1" customHeight="1">
      <c r="A58" s="1124"/>
      <c r="B58" s="1131"/>
      <c r="C58" s="1134"/>
      <c r="D58" s="1137"/>
      <c r="E58" s="1124"/>
      <c r="F58" s="1140"/>
      <c r="G58" s="1131"/>
      <c r="H58" s="691">
        <v>21574001</v>
      </c>
      <c r="I58" s="691">
        <v>4774337</v>
      </c>
      <c r="J58" s="1128"/>
      <c r="K58" s="1128"/>
      <c r="L58" s="1129"/>
      <c r="M58" s="1129"/>
      <c r="N58" s="1128"/>
      <c r="O58" s="1128"/>
      <c r="P58" s="1129"/>
      <c r="Q58" s="1129"/>
      <c r="R58" s="1128"/>
      <c r="S58" s="1129"/>
      <c r="T58" s="1129"/>
      <c r="U58" s="1128"/>
      <c r="V58" s="1129"/>
      <c r="W58" s="1129"/>
    </row>
    <row r="59" spans="1:23" s="692" customFormat="1" ht="17.25" hidden="1" customHeight="1">
      <c r="A59" s="1124"/>
      <c r="B59" s="1131"/>
      <c r="C59" s="1134"/>
      <c r="D59" s="1137"/>
      <c r="E59" s="1124"/>
      <c r="F59" s="1140"/>
      <c r="G59" s="1131"/>
      <c r="H59" s="691">
        <v>0</v>
      </c>
      <c r="I59" s="691">
        <v>0</v>
      </c>
      <c r="J59" s="693">
        <f>K59+N59</f>
        <v>0</v>
      </c>
      <c r="K59" s="693">
        <f>L59+M59</f>
        <v>0</v>
      </c>
      <c r="L59" s="694">
        <v>0</v>
      </c>
      <c r="M59" s="694">
        <v>0</v>
      </c>
      <c r="N59" s="693">
        <f>O59+R59+U59</f>
        <v>0</v>
      </c>
      <c r="O59" s="693">
        <f>P59+Q59</f>
        <v>0</v>
      </c>
      <c r="P59" s="694">
        <v>0</v>
      </c>
      <c r="Q59" s="694">
        <v>0</v>
      </c>
      <c r="R59" s="693">
        <f>S59+T59</f>
        <v>0</v>
      </c>
      <c r="S59" s="694">
        <v>0</v>
      </c>
      <c r="T59" s="694">
        <v>0</v>
      </c>
      <c r="U59" s="693">
        <f>V59+W59</f>
        <v>0</v>
      </c>
      <c r="V59" s="694">
        <v>0</v>
      </c>
      <c r="W59" s="694">
        <v>0</v>
      </c>
    </row>
    <row r="60" spans="1:23" s="692" customFormat="1" ht="17.25" hidden="1" customHeight="1">
      <c r="A60" s="1124"/>
      <c r="B60" s="1131"/>
      <c r="C60" s="1134"/>
      <c r="D60" s="1137"/>
      <c r="E60" s="1124"/>
      <c r="F60" s="1140"/>
      <c r="G60" s="1131"/>
      <c r="H60" s="691">
        <v>1178524</v>
      </c>
      <c r="I60" s="691">
        <v>155740</v>
      </c>
      <c r="J60" s="1128">
        <f t="shared" ref="J60:W60" si="8">J57+J59</f>
        <v>8562685</v>
      </c>
      <c r="K60" s="1128">
        <f t="shared" si="8"/>
        <v>8258995</v>
      </c>
      <c r="L60" s="1129">
        <f t="shared" si="8"/>
        <v>666345</v>
      </c>
      <c r="M60" s="1129">
        <f t="shared" si="8"/>
        <v>7592650</v>
      </c>
      <c r="N60" s="1128">
        <f t="shared" si="8"/>
        <v>303690</v>
      </c>
      <c r="O60" s="1128">
        <f t="shared" si="8"/>
        <v>0</v>
      </c>
      <c r="P60" s="1129">
        <f t="shared" si="8"/>
        <v>0</v>
      </c>
      <c r="Q60" s="1129">
        <f t="shared" si="8"/>
        <v>0</v>
      </c>
      <c r="R60" s="1128">
        <f t="shared" si="8"/>
        <v>278452</v>
      </c>
      <c r="S60" s="1129">
        <f t="shared" si="8"/>
        <v>117590</v>
      </c>
      <c r="T60" s="1129">
        <f t="shared" si="8"/>
        <v>160862</v>
      </c>
      <c r="U60" s="1128">
        <f t="shared" si="8"/>
        <v>25238</v>
      </c>
      <c r="V60" s="1129">
        <f t="shared" si="8"/>
        <v>0</v>
      </c>
      <c r="W60" s="1129">
        <f t="shared" si="8"/>
        <v>25238</v>
      </c>
    </row>
    <row r="61" spans="1:23" s="692" customFormat="1" ht="17.25" hidden="1" customHeight="1">
      <c r="A61" s="1124"/>
      <c r="B61" s="1132"/>
      <c r="C61" s="1135"/>
      <c r="D61" s="1138"/>
      <c r="E61" s="1124"/>
      <c r="F61" s="1141"/>
      <c r="G61" s="1132"/>
      <c r="H61" s="691">
        <v>73245</v>
      </c>
      <c r="I61" s="691">
        <v>10507</v>
      </c>
      <c r="J61" s="1128"/>
      <c r="K61" s="1128"/>
      <c r="L61" s="1129"/>
      <c r="M61" s="1129"/>
      <c r="N61" s="1128"/>
      <c r="O61" s="1128"/>
      <c r="P61" s="1129"/>
      <c r="Q61" s="1129"/>
      <c r="R61" s="1128"/>
      <c r="S61" s="1129"/>
      <c r="T61" s="1129"/>
      <c r="U61" s="1128"/>
      <c r="V61" s="1129"/>
      <c r="W61" s="1129"/>
    </row>
    <row r="62" spans="1:23" s="692" customFormat="1" ht="17.25" hidden="1" customHeight="1">
      <c r="A62" s="1124">
        <v>8</v>
      </c>
      <c r="B62" s="1125" t="s">
        <v>753</v>
      </c>
      <c r="C62" s="1126" t="s">
        <v>754</v>
      </c>
      <c r="D62" s="1127" t="s">
        <v>755</v>
      </c>
      <c r="E62" s="1124" t="s">
        <v>756</v>
      </c>
      <c r="F62" s="1124" t="s">
        <v>757</v>
      </c>
      <c r="G62" s="1125" t="s">
        <v>758</v>
      </c>
      <c r="H62" s="691">
        <f>H63+H64+H65+H66</f>
        <v>669248</v>
      </c>
      <c r="I62" s="691">
        <f>I63+I64+I65+I66</f>
        <v>31617</v>
      </c>
      <c r="J62" s="1128">
        <f>K62+N62</f>
        <v>0</v>
      </c>
      <c r="K62" s="1128">
        <f>L62+M62</f>
        <v>0</v>
      </c>
      <c r="L62" s="1129">
        <v>0</v>
      </c>
      <c r="M62" s="1129">
        <v>0</v>
      </c>
      <c r="N62" s="1128">
        <f>O62+R62+U62</f>
        <v>0</v>
      </c>
      <c r="O62" s="1128">
        <f>P62+Q62</f>
        <v>0</v>
      </c>
      <c r="P62" s="1129">
        <v>0</v>
      </c>
      <c r="Q62" s="1129">
        <v>0</v>
      </c>
      <c r="R62" s="1128">
        <f>S62+T62</f>
        <v>0</v>
      </c>
      <c r="S62" s="1129">
        <v>0</v>
      </c>
      <c r="T62" s="1129">
        <v>0</v>
      </c>
      <c r="U62" s="1128">
        <f>V62+W62</f>
        <v>0</v>
      </c>
      <c r="V62" s="1129">
        <v>0</v>
      </c>
      <c r="W62" s="1129">
        <v>0</v>
      </c>
    </row>
    <row r="63" spans="1:23" s="692" customFormat="1" ht="17.25" hidden="1" customHeight="1">
      <c r="A63" s="1124"/>
      <c r="B63" s="1125"/>
      <c r="C63" s="1126"/>
      <c r="D63" s="1127"/>
      <c r="E63" s="1124"/>
      <c r="F63" s="1124"/>
      <c r="G63" s="1125"/>
      <c r="H63" s="691">
        <v>534806</v>
      </c>
      <c r="I63" s="691">
        <v>24810</v>
      </c>
      <c r="J63" s="1128"/>
      <c r="K63" s="1128"/>
      <c r="L63" s="1129"/>
      <c r="M63" s="1129"/>
      <c r="N63" s="1128"/>
      <c r="O63" s="1128"/>
      <c r="P63" s="1129"/>
      <c r="Q63" s="1129"/>
      <c r="R63" s="1128"/>
      <c r="S63" s="1129"/>
      <c r="T63" s="1129"/>
      <c r="U63" s="1128"/>
      <c r="V63" s="1129"/>
      <c r="W63" s="1129"/>
    </row>
    <row r="64" spans="1:23" s="692" customFormat="1" ht="17.25" hidden="1" customHeight="1">
      <c r="A64" s="1124"/>
      <c r="B64" s="1125"/>
      <c r="C64" s="1126"/>
      <c r="D64" s="1127"/>
      <c r="E64" s="1124"/>
      <c r="F64" s="1124"/>
      <c r="G64" s="1125"/>
      <c r="H64" s="691">
        <v>0</v>
      </c>
      <c r="I64" s="691">
        <v>0</v>
      </c>
      <c r="J64" s="693">
        <f>K64+N64</f>
        <v>0</v>
      </c>
      <c r="K64" s="693">
        <f>L64+M64</f>
        <v>0</v>
      </c>
      <c r="L64" s="694">
        <v>0</v>
      </c>
      <c r="M64" s="694">
        <v>0</v>
      </c>
      <c r="N64" s="693">
        <f>O64+R64+U64</f>
        <v>0</v>
      </c>
      <c r="O64" s="693">
        <f>P64+Q64</f>
        <v>0</v>
      </c>
      <c r="P64" s="694">
        <v>0</v>
      </c>
      <c r="Q64" s="694">
        <v>0</v>
      </c>
      <c r="R64" s="693">
        <f>S64+T64</f>
        <v>0</v>
      </c>
      <c r="S64" s="694">
        <v>0</v>
      </c>
      <c r="T64" s="694">
        <v>0</v>
      </c>
      <c r="U64" s="693">
        <f>V64+W64</f>
        <v>0</v>
      </c>
      <c r="V64" s="694">
        <v>0</v>
      </c>
      <c r="W64" s="694">
        <v>0</v>
      </c>
    </row>
    <row r="65" spans="1:23" s="692" customFormat="1" ht="17.25" hidden="1" customHeight="1">
      <c r="A65" s="1124"/>
      <c r="B65" s="1125"/>
      <c r="C65" s="1126"/>
      <c r="D65" s="1127"/>
      <c r="E65" s="1124"/>
      <c r="F65" s="1124"/>
      <c r="G65" s="1125"/>
      <c r="H65" s="691">
        <v>134442</v>
      </c>
      <c r="I65" s="691">
        <v>6807</v>
      </c>
      <c r="J65" s="1128">
        <f t="shared" ref="J65:W65" si="9">J62+J64</f>
        <v>0</v>
      </c>
      <c r="K65" s="1128">
        <f t="shared" si="9"/>
        <v>0</v>
      </c>
      <c r="L65" s="1129">
        <f t="shared" si="9"/>
        <v>0</v>
      </c>
      <c r="M65" s="1129">
        <f t="shared" si="9"/>
        <v>0</v>
      </c>
      <c r="N65" s="1128">
        <f t="shared" si="9"/>
        <v>0</v>
      </c>
      <c r="O65" s="1128">
        <f t="shared" si="9"/>
        <v>0</v>
      </c>
      <c r="P65" s="1129">
        <f t="shared" si="9"/>
        <v>0</v>
      </c>
      <c r="Q65" s="1129">
        <f t="shared" si="9"/>
        <v>0</v>
      </c>
      <c r="R65" s="1128">
        <f t="shared" si="9"/>
        <v>0</v>
      </c>
      <c r="S65" s="1129">
        <f t="shared" si="9"/>
        <v>0</v>
      </c>
      <c r="T65" s="1129">
        <f t="shared" si="9"/>
        <v>0</v>
      </c>
      <c r="U65" s="1128">
        <f t="shared" si="9"/>
        <v>0</v>
      </c>
      <c r="V65" s="1129">
        <f t="shared" si="9"/>
        <v>0</v>
      </c>
      <c r="W65" s="1129">
        <f t="shared" si="9"/>
        <v>0</v>
      </c>
    </row>
    <row r="66" spans="1:23" s="692" customFormat="1" ht="17.25" hidden="1" customHeight="1">
      <c r="A66" s="1124"/>
      <c r="B66" s="1125"/>
      <c r="C66" s="1126"/>
      <c r="D66" s="1127"/>
      <c r="E66" s="1124"/>
      <c r="F66" s="1124"/>
      <c r="G66" s="1125"/>
      <c r="H66" s="691">
        <v>0</v>
      </c>
      <c r="I66" s="691">
        <v>0</v>
      </c>
      <c r="J66" s="1128"/>
      <c r="K66" s="1128"/>
      <c r="L66" s="1129"/>
      <c r="M66" s="1129"/>
      <c r="N66" s="1128"/>
      <c r="O66" s="1128"/>
      <c r="P66" s="1129"/>
      <c r="Q66" s="1129"/>
      <c r="R66" s="1128"/>
      <c r="S66" s="1129"/>
      <c r="T66" s="1129"/>
      <c r="U66" s="1128"/>
      <c r="V66" s="1129"/>
      <c r="W66" s="1129"/>
    </row>
    <row r="67" spans="1:23" s="692" customFormat="1" ht="17.25" hidden="1" customHeight="1">
      <c r="A67" s="1124">
        <v>9</v>
      </c>
      <c r="B67" s="1125" t="s">
        <v>759</v>
      </c>
      <c r="C67" s="1126" t="s">
        <v>760</v>
      </c>
      <c r="D67" s="1127" t="s">
        <v>761</v>
      </c>
      <c r="E67" s="1124" t="s">
        <v>762</v>
      </c>
      <c r="F67" s="1124" t="s">
        <v>763</v>
      </c>
      <c r="G67" s="1125" t="s">
        <v>764</v>
      </c>
      <c r="H67" s="691">
        <f>H68+H69+H70+H71</f>
        <v>3687356</v>
      </c>
      <c r="I67" s="691">
        <f>I68+I69+I70+I71</f>
        <v>95971</v>
      </c>
      <c r="J67" s="1128">
        <f>K67+N67</f>
        <v>1074734</v>
      </c>
      <c r="K67" s="1128">
        <f>L67+M67</f>
        <v>685142</v>
      </c>
      <c r="L67" s="1129">
        <v>0</v>
      </c>
      <c r="M67" s="1129">
        <v>685142</v>
      </c>
      <c r="N67" s="1128">
        <f>O67+R67+U67</f>
        <v>389592</v>
      </c>
      <c r="O67" s="1128">
        <f>P67+Q67</f>
        <v>0</v>
      </c>
      <c r="P67" s="1129">
        <v>0</v>
      </c>
      <c r="Q67" s="1129">
        <v>0</v>
      </c>
      <c r="R67" s="1128">
        <f>S67+T67</f>
        <v>134158</v>
      </c>
      <c r="S67" s="1129">
        <v>0</v>
      </c>
      <c r="T67" s="1129">
        <v>134158</v>
      </c>
      <c r="U67" s="1128">
        <f>V67+W67</f>
        <v>255434</v>
      </c>
      <c r="V67" s="1129">
        <v>0</v>
      </c>
      <c r="W67" s="1129">
        <v>255434</v>
      </c>
    </row>
    <row r="68" spans="1:23" s="692" customFormat="1" ht="17.25" hidden="1" customHeight="1">
      <c r="A68" s="1124"/>
      <c r="B68" s="1125"/>
      <c r="C68" s="1126"/>
      <c r="D68" s="1127"/>
      <c r="E68" s="1124"/>
      <c r="F68" s="1124"/>
      <c r="G68" s="1125"/>
      <c r="H68" s="691">
        <v>2371939</v>
      </c>
      <c r="I68" s="691">
        <v>81575</v>
      </c>
      <c r="J68" s="1128"/>
      <c r="K68" s="1128"/>
      <c r="L68" s="1129"/>
      <c r="M68" s="1129"/>
      <c r="N68" s="1128"/>
      <c r="O68" s="1128"/>
      <c r="P68" s="1129"/>
      <c r="Q68" s="1129"/>
      <c r="R68" s="1128"/>
      <c r="S68" s="1129"/>
      <c r="T68" s="1129"/>
      <c r="U68" s="1128"/>
      <c r="V68" s="1129"/>
      <c r="W68" s="1129"/>
    </row>
    <row r="69" spans="1:23" s="692" customFormat="1" ht="17.25" hidden="1" customHeight="1">
      <c r="A69" s="1124"/>
      <c r="B69" s="1125"/>
      <c r="C69" s="1126"/>
      <c r="D69" s="1127"/>
      <c r="E69" s="1124"/>
      <c r="F69" s="1124"/>
      <c r="G69" s="1125"/>
      <c r="H69" s="691">
        <v>0</v>
      </c>
      <c r="I69" s="691">
        <v>0</v>
      </c>
      <c r="J69" s="693">
        <f>K69+N69</f>
        <v>0</v>
      </c>
      <c r="K69" s="693">
        <f>L69+M69</f>
        <v>0</v>
      </c>
      <c r="L69" s="694">
        <v>0</v>
      </c>
      <c r="M69" s="694">
        <v>0</v>
      </c>
      <c r="N69" s="693">
        <f>O69+R69+U69</f>
        <v>0</v>
      </c>
      <c r="O69" s="693">
        <f>P69+Q69</f>
        <v>0</v>
      </c>
      <c r="P69" s="694">
        <v>0</v>
      </c>
      <c r="Q69" s="694">
        <v>0</v>
      </c>
      <c r="R69" s="693">
        <f>S69+T69</f>
        <v>0</v>
      </c>
      <c r="S69" s="694">
        <v>0</v>
      </c>
      <c r="T69" s="694">
        <v>0</v>
      </c>
      <c r="U69" s="693">
        <f>V69+W69</f>
        <v>0</v>
      </c>
      <c r="V69" s="694">
        <v>0</v>
      </c>
      <c r="W69" s="694">
        <v>0</v>
      </c>
    </row>
    <row r="70" spans="1:23" s="692" customFormat="1" ht="17.25" hidden="1" customHeight="1">
      <c r="A70" s="1124"/>
      <c r="B70" s="1125"/>
      <c r="C70" s="1126"/>
      <c r="D70" s="1127"/>
      <c r="E70" s="1124"/>
      <c r="F70" s="1124"/>
      <c r="G70" s="1125"/>
      <c r="H70" s="691">
        <v>762313</v>
      </c>
      <c r="I70" s="691">
        <v>0</v>
      </c>
      <c r="J70" s="1128">
        <f t="shared" ref="J70:W70" si="10">J67+J69</f>
        <v>1074734</v>
      </c>
      <c r="K70" s="1128">
        <f t="shared" si="10"/>
        <v>685142</v>
      </c>
      <c r="L70" s="1129">
        <f t="shared" si="10"/>
        <v>0</v>
      </c>
      <c r="M70" s="1129">
        <f t="shared" si="10"/>
        <v>685142</v>
      </c>
      <c r="N70" s="1128">
        <f t="shared" si="10"/>
        <v>389592</v>
      </c>
      <c r="O70" s="1128">
        <f t="shared" si="10"/>
        <v>0</v>
      </c>
      <c r="P70" s="1129">
        <f t="shared" si="10"/>
        <v>0</v>
      </c>
      <c r="Q70" s="1129">
        <f t="shared" si="10"/>
        <v>0</v>
      </c>
      <c r="R70" s="1128">
        <f t="shared" si="10"/>
        <v>134158</v>
      </c>
      <c r="S70" s="1129">
        <f t="shared" si="10"/>
        <v>0</v>
      </c>
      <c r="T70" s="1129">
        <f t="shared" si="10"/>
        <v>134158</v>
      </c>
      <c r="U70" s="1128">
        <f t="shared" si="10"/>
        <v>255434</v>
      </c>
      <c r="V70" s="1129">
        <f t="shared" si="10"/>
        <v>0</v>
      </c>
      <c r="W70" s="1129">
        <f t="shared" si="10"/>
        <v>255434</v>
      </c>
    </row>
    <row r="71" spans="1:23" s="692" customFormat="1" ht="17.25" hidden="1" customHeight="1">
      <c r="A71" s="1124"/>
      <c r="B71" s="1125"/>
      <c r="C71" s="1126"/>
      <c r="D71" s="1127"/>
      <c r="E71" s="1124"/>
      <c r="F71" s="1124"/>
      <c r="G71" s="1125"/>
      <c r="H71" s="691">
        <v>553104</v>
      </c>
      <c r="I71" s="691">
        <v>14396</v>
      </c>
      <c r="J71" s="1128"/>
      <c r="K71" s="1128"/>
      <c r="L71" s="1129"/>
      <c r="M71" s="1129"/>
      <c r="N71" s="1128"/>
      <c r="O71" s="1128"/>
      <c r="P71" s="1129"/>
      <c r="Q71" s="1129"/>
      <c r="R71" s="1128"/>
      <c r="S71" s="1129"/>
      <c r="T71" s="1129"/>
      <c r="U71" s="1128"/>
      <c r="V71" s="1129"/>
      <c r="W71" s="1129"/>
    </row>
    <row r="72" spans="1:23" s="692" customFormat="1" ht="17.25" hidden="1" customHeight="1">
      <c r="A72" s="1124">
        <v>10</v>
      </c>
      <c r="B72" s="1125" t="s">
        <v>759</v>
      </c>
      <c r="C72" s="1126" t="s">
        <v>760</v>
      </c>
      <c r="D72" s="1136" t="s">
        <v>765</v>
      </c>
      <c r="E72" s="1124" t="s">
        <v>762</v>
      </c>
      <c r="F72" s="1124" t="s">
        <v>763</v>
      </c>
      <c r="G72" s="1125" t="s">
        <v>758</v>
      </c>
      <c r="H72" s="691">
        <f>H73+H74+H75+H76</f>
        <v>1467400</v>
      </c>
      <c r="I72" s="691">
        <f>I73+I74+I75+I76</f>
        <v>0</v>
      </c>
      <c r="J72" s="1128">
        <f>K72+N72</f>
        <v>0</v>
      </c>
      <c r="K72" s="1128">
        <f>L72+M72</f>
        <v>0</v>
      </c>
      <c r="L72" s="1129">
        <v>0</v>
      </c>
      <c r="M72" s="1129">
        <v>0</v>
      </c>
      <c r="N72" s="1128">
        <f>O72+R72+U72</f>
        <v>0</v>
      </c>
      <c r="O72" s="1128">
        <f>P72+Q72</f>
        <v>0</v>
      </c>
      <c r="P72" s="1129">
        <v>0</v>
      </c>
      <c r="Q72" s="1129">
        <v>0</v>
      </c>
      <c r="R72" s="1128">
        <f>S72+T72</f>
        <v>0</v>
      </c>
      <c r="S72" s="1129">
        <v>0</v>
      </c>
      <c r="T72" s="1129">
        <v>0</v>
      </c>
      <c r="U72" s="1128">
        <f>V72+W72</f>
        <v>0</v>
      </c>
      <c r="V72" s="1129">
        <v>0</v>
      </c>
      <c r="W72" s="1129">
        <v>0</v>
      </c>
    </row>
    <row r="73" spans="1:23" s="692" customFormat="1" ht="17.25" hidden="1" customHeight="1">
      <c r="A73" s="1124"/>
      <c r="B73" s="1125"/>
      <c r="C73" s="1126"/>
      <c r="D73" s="1137"/>
      <c r="E73" s="1124"/>
      <c r="F73" s="1124"/>
      <c r="G73" s="1125"/>
      <c r="H73" s="691">
        <v>933937</v>
      </c>
      <c r="I73" s="691">
        <v>0</v>
      </c>
      <c r="J73" s="1128"/>
      <c r="K73" s="1128"/>
      <c r="L73" s="1129"/>
      <c r="M73" s="1129"/>
      <c r="N73" s="1128"/>
      <c r="O73" s="1128"/>
      <c r="P73" s="1129"/>
      <c r="Q73" s="1129"/>
      <c r="R73" s="1128"/>
      <c r="S73" s="1129"/>
      <c r="T73" s="1129"/>
      <c r="U73" s="1128"/>
      <c r="V73" s="1129"/>
      <c r="W73" s="1129"/>
    </row>
    <row r="74" spans="1:23" s="692" customFormat="1" ht="17.25" hidden="1" customHeight="1">
      <c r="A74" s="1124"/>
      <c r="B74" s="1125"/>
      <c r="C74" s="1126"/>
      <c r="D74" s="1137"/>
      <c r="E74" s="1124"/>
      <c r="F74" s="1124"/>
      <c r="G74" s="1125"/>
      <c r="H74" s="691">
        <v>0</v>
      </c>
      <c r="I74" s="691">
        <v>0</v>
      </c>
      <c r="J74" s="693">
        <f>K74+N74</f>
        <v>0</v>
      </c>
      <c r="K74" s="693">
        <f>L74+M74</f>
        <v>0</v>
      </c>
      <c r="L74" s="694">
        <v>0</v>
      </c>
      <c r="M74" s="694">
        <v>0</v>
      </c>
      <c r="N74" s="693">
        <f>O74+R74+U74</f>
        <v>0</v>
      </c>
      <c r="O74" s="693">
        <f>P74+Q74</f>
        <v>0</v>
      </c>
      <c r="P74" s="694">
        <v>0</v>
      </c>
      <c r="Q74" s="694">
        <v>0</v>
      </c>
      <c r="R74" s="693">
        <f>S74+T74</f>
        <v>0</v>
      </c>
      <c r="S74" s="694">
        <v>0</v>
      </c>
      <c r="T74" s="694">
        <v>0</v>
      </c>
      <c r="U74" s="693">
        <f>V74+W74</f>
        <v>0</v>
      </c>
      <c r="V74" s="694">
        <v>0</v>
      </c>
      <c r="W74" s="694">
        <v>0</v>
      </c>
    </row>
    <row r="75" spans="1:23" s="692" customFormat="1" ht="17.25" hidden="1" customHeight="1">
      <c r="A75" s="1124"/>
      <c r="B75" s="1125"/>
      <c r="C75" s="1126"/>
      <c r="D75" s="1137"/>
      <c r="E75" s="1124"/>
      <c r="F75" s="1124"/>
      <c r="G75" s="1125"/>
      <c r="H75" s="691">
        <v>533463</v>
      </c>
      <c r="I75" s="691">
        <v>0</v>
      </c>
      <c r="J75" s="1128">
        <f t="shared" ref="J75:W75" si="11">J72+J74</f>
        <v>0</v>
      </c>
      <c r="K75" s="1128">
        <f t="shared" si="11"/>
        <v>0</v>
      </c>
      <c r="L75" s="1129">
        <f t="shared" si="11"/>
        <v>0</v>
      </c>
      <c r="M75" s="1129">
        <f t="shared" si="11"/>
        <v>0</v>
      </c>
      <c r="N75" s="1128">
        <f t="shared" si="11"/>
        <v>0</v>
      </c>
      <c r="O75" s="1128">
        <f t="shared" si="11"/>
        <v>0</v>
      </c>
      <c r="P75" s="1129">
        <f t="shared" si="11"/>
        <v>0</v>
      </c>
      <c r="Q75" s="1129">
        <f t="shared" si="11"/>
        <v>0</v>
      </c>
      <c r="R75" s="1128">
        <f t="shared" si="11"/>
        <v>0</v>
      </c>
      <c r="S75" s="1129">
        <f t="shared" si="11"/>
        <v>0</v>
      </c>
      <c r="T75" s="1129">
        <f t="shared" si="11"/>
        <v>0</v>
      </c>
      <c r="U75" s="1128">
        <f t="shared" si="11"/>
        <v>0</v>
      </c>
      <c r="V75" s="1129">
        <f t="shared" si="11"/>
        <v>0</v>
      </c>
      <c r="W75" s="1129">
        <f t="shared" si="11"/>
        <v>0</v>
      </c>
    </row>
    <row r="76" spans="1:23" s="692" customFormat="1" ht="17.25" hidden="1" customHeight="1">
      <c r="A76" s="1124"/>
      <c r="B76" s="1125"/>
      <c r="C76" s="1126"/>
      <c r="D76" s="1138"/>
      <c r="E76" s="1124"/>
      <c r="F76" s="1124"/>
      <c r="G76" s="1125"/>
      <c r="H76" s="691">
        <v>0</v>
      </c>
      <c r="I76" s="691">
        <v>0</v>
      </c>
      <c r="J76" s="1128"/>
      <c r="K76" s="1128"/>
      <c r="L76" s="1129"/>
      <c r="M76" s="1129"/>
      <c r="N76" s="1128"/>
      <c r="O76" s="1128"/>
      <c r="P76" s="1129"/>
      <c r="Q76" s="1129"/>
      <c r="R76" s="1128"/>
      <c r="S76" s="1129"/>
      <c r="T76" s="1129"/>
      <c r="U76" s="1128"/>
      <c r="V76" s="1129"/>
      <c r="W76" s="1129"/>
    </row>
    <row r="77" spans="1:23" s="692" customFormat="1" ht="15.75" hidden="1" customHeight="1">
      <c r="A77" s="1124">
        <v>11</v>
      </c>
      <c r="B77" s="1125" t="s">
        <v>759</v>
      </c>
      <c r="C77" s="1126" t="s">
        <v>760</v>
      </c>
      <c r="D77" s="1136" t="s">
        <v>766</v>
      </c>
      <c r="E77" s="1124" t="s">
        <v>762</v>
      </c>
      <c r="F77" s="1139" t="s">
        <v>767</v>
      </c>
      <c r="G77" s="1130" t="s">
        <v>768</v>
      </c>
      <c r="H77" s="691">
        <f>H78+H79+H80+H81</f>
        <v>10061978</v>
      </c>
      <c r="I77" s="691">
        <f>I78+I79+I80+I81</f>
        <v>187546</v>
      </c>
      <c r="J77" s="1128">
        <f>K77+N77</f>
        <v>1202332</v>
      </c>
      <c r="K77" s="1128">
        <f>L77+M77</f>
        <v>792229</v>
      </c>
      <c r="L77" s="1129">
        <v>8640</v>
      </c>
      <c r="M77" s="1129">
        <v>783589</v>
      </c>
      <c r="N77" s="1128">
        <f>O77+R77+U77</f>
        <v>410103</v>
      </c>
      <c r="O77" s="1128">
        <f>P77+Q77</f>
        <v>0</v>
      </c>
      <c r="P77" s="1129">
        <v>0</v>
      </c>
      <c r="Q77" s="1129">
        <v>0</v>
      </c>
      <c r="R77" s="1128">
        <f>S77+T77</f>
        <v>68997</v>
      </c>
      <c r="S77" s="1129">
        <v>3360</v>
      </c>
      <c r="T77" s="1129">
        <v>65637</v>
      </c>
      <c r="U77" s="1128">
        <f>V77+W77</f>
        <v>341106</v>
      </c>
      <c r="V77" s="1129">
        <v>0</v>
      </c>
      <c r="W77" s="1129">
        <v>341106</v>
      </c>
    </row>
    <row r="78" spans="1:23" s="692" customFormat="1" ht="15.75" hidden="1" customHeight="1">
      <c r="A78" s="1124"/>
      <c r="B78" s="1125"/>
      <c r="C78" s="1126"/>
      <c r="D78" s="1137"/>
      <c r="E78" s="1124"/>
      <c r="F78" s="1140"/>
      <c r="G78" s="1131"/>
      <c r="H78" s="691">
        <v>6840891</v>
      </c>
      <c r="I78" s="691">
        <v>33772</v>
      </c>
      <c r="J78" s="1128"/>
      <c r="K78" s="1128"/>
      <c r="L78" s="1129"/>
      <c r="M78" s="1129"/>
      <c r="N78" s="1128"/>
      <c r="O78" s="1128"/>
      <c r="P78" s="1129"/>
      <c r="Q78" s="1129"/>
      <c r="R78" s="1128"/>
      <c r="S78" s="1129"/>
      <c r="T78" s="1129"/>
      <c r="U78" s="1128"/>
      <c r="V78" s="1129"/>
      <c r="W78" s="1129"/>
    </row>
    <row r="79" spans="1:23" s="692" customFormat="1" ht="15.75" hidden="1" customHeight="1">
      <c r="A79" s="1124"/>
      <c r="B79" s="1125"/>
      <c r="C79" s="1126"/>
      <c r="D79" s="1137"/>
      <c r="E79" s="1124"/>
      <c r="F79" s="1140"/>
      <c r="G79" s="1131"/>
      <c r="H79" s="691">
        <v>0</v>
      </c>
      <c r="I79" s="691">
        <v>0</v>
      </c>
      <c r="J79" s="693">
        <f>K79+N79</f>
        <v>0</v>
      </c>
      <c r="K79" s="693">
        <f>L79+M79</f>
        <v>0</v>
      </c>
      <c r="L79" s="694">
        <v>0</v>
      </c>
      <c r="M79" s="694">
        <v>0</v>
      </c>
      <c r="N79" s="693">
        <f>O79+R79+U79</f>
        <v>0</v>
      </c>
      <c r="O79" s="693">
        <f>P79+Q79</f>
        <v>0</v>
      </c>
      <c r="P79" s="694">
        <v>0</v>
      </c>
      <c r="Q79" s="694">
        <v>0</v>
      </c>
      <c r="R79" s="693">
        <f>S79+T79</f>
        <v>0</v>
      </c>
      <c r="S79" s="694">
        <v>0</v>
      </c>
      <c r="T79" s="694">
        <v>0</v>
      </c>
      <c r="U79" s="693">
        <f>V79+W79</f>
        <v>0</v>
      </c>
      <c r="V79" s="694">
        <v>0</v>
      </c>
      <c r="W79" s="694">
        <v>0</v>
      </c>
    </row>
    <row r="80" spans="1:23" s="692" customFormat="1" ht="15.75" hidden="1" customHeight="1">
      <c r="A80" s="1124"/>
      <c r="B80" s="1125"/>
      <c r="C80" s="1126"/>
      <c r="D80" s="1137"/>
      <c r="E80" s="1124"/>
      <c r="F80" s="1140"/>
      <c r="G80" s="1131"/>
      <c r="H80" s="691">
        <v>1261833</v>
      </c>
      <c r="I80" s="691">
        <v>153774</v>
      </c>
      <c r="J80" s="1128">
        <f t="shared" ref="J80:W80" si="12">J77+J79</f>
        <v>1202332</v>
      </c>
      <c r="K80" s="1128">
        <f t="shared" si="12"/>
        <v>792229</v>
      </c>
      <c r="L80" s="1129">
        <f t="shared" si="12"/>
        <v>8640</v>
      </c>
      <c r="M80" s="1129">
        <f t="shared" si="12"/>
        <v>783589</v>
      </c>
      <c r="N80" s="1128">
        <f t="shared" si="12"/>
        <v>410103</v>
      </c>
      <c r="O80" s="1128">
        <f t="shared" si="12"/>
        <v>0</v>
      </c>
      <c r="P80" s="1129">
        <f t="shared" si="12"/>
        <v>0</v>
      </c>
      <c r="Q80" s="1129">
        <f t="shared" si="12"/>
        <v>0</v>
      </c>
      <c r="R80" s="1128">
        <f t="shared" si="12"/>
        <v>68997</v>
      </c>
      <c r="S80" s="1129">
        <f t="shared" si="12"/>
        <v>3360</v>
      </c>
      <c r="T80" s="1129">
        <f t="shared" si="12"/>
        <v>65637</v>
      </c>
      <c r="U80" s="1128">
        <f t="shared" si="12"/>
        <v>341106</v>
      </c>
      <c r="V80" s="1129">
        <f t="shared" si="12"/>
        <v>0</v>
      </c>
      <c r="W80" s="1129">
        <f t="shared" si="12"/>
        <v>341106</v>
      </c>
    </row>
    <row r="81" spans="1:23" s="692" customFormat="1" ht="15.75" hidden="1" customHeight="1">
      <c r="A81" s="1124"/>
      <c r="B81" s="1125"/>
      <c r="C81" s="1126"/>
      <c r="D81" s="1138"/>
      <c r="E81" s="1124"/>
      <c r="F81" s="1141"/>
      <c r="G81" s="1132"/>
      <c r="H81" s="691">
        <v>1959254</v>
      </c>
      <c r="I81" s="691">
        <v>0</v>
      </c>
      <c r="J81" s="1128"/>
      <c r="K81" s="1128"/>
      <c r="L81" s="1129"/>
      <c r="M81" s="1129"/>
      <c r="N81" s="1128"/>
      <c r="O81" s="1128"/>
      <c r="P81" s="1129"/>
      <c r="Q81" s="1129"/>
      <c r="R81" s="1128"/>
      <c r="S81" s="1129"/>
      <c r="T81" s="1129"/>
      <c r="U81" s="1128"/>
      <c r="V81" s="1129"/>
      <c r="W81" s="1129"/>
    </row>
    <row r="82" spans="1:23" s="692" customFormat="1" ht="17.25" hidden="1" customHeight="1">
      <c r="A82" s="1124">
        <v>12</v>
      </c>
      <c r="B82" s="1125" t="s">
        <v>759</v>
      </c>
      <c r="C82" s="1126" t="s">
        <v>760</v>
      </c>
      <c r="D82" s="1136" t="s">
        <v>769</v>
      </c>
      <c r="E82" s="1124" t="s">
        <v>762</v>
      </c>
      <c r="F82" s="1139" t="s">
        <v>767</v>
      </c>
      <c r="G82" s="1130" t="s">
        <v>768</v>
      </c>
      <c r="H82" s="691">
        <f>H83+H84+H85+H86</f>
        <v>9416096</v>
      </c>
      <c r="I82" s="691">
        <f>I83+I84+I85+I86</f>
        <v>111952</v>
      </c>
      <c r="J82" s="1128">
        <f>K82+N82</f>
        <v>1751271</v>
      </c>
      <c r="K82" s="1128">
        <f>L82+M82</f>
        <v>1147073</v>
      </c>
      <c r="L82" s="1129">
        <v>8640</v>
      </c>
      <c r="M82" s="1129">
        <v>1138433</v>
      </c>
      <c r="N82" s="1128">
        <f>O82+R82+U82</f>
        <v>604198</v>
      </c>
      <c r="O82" s="1128">
        <f>P82+Q82</f>
        <v>0</v>
      </c>
      <c r="P82" s="1129">
        <v>0</v>
      </c>
      <c r="Q82" s="1129">
        <v>0</v>
      </c>
      <c r="R82" s="1128">
        <f>S82+T82</f>
        <v>173955</v>
      </c>
      <c r="S82" s="1129">
        <v>3360</v>
      </c>
      <c r="T82" s="1129">
        <v>170595</v>
      </c>
      <c r="U82" s="1128">
        <f>V82+W82</f>
        <v>430243</v>
      </c>
      <c r="V82" s="1129">
        <v>0</v>
      </c>
      <c r="W82" s="1129">
        <v>430243</v>
      </c>
    </row>
    <row r="83" spans="1:23" s="692" customFormat="1" ht="17.25" hidden="1" customHeight="1">
      <c r="A83" s="1124"/>
      <c r="B83" s="1125"/>
      <c r="C83" s="1126"/>
      <c r="D83" s="1137"/>
      <c r="E83" s="1124"/>
      <c r="F83" s="1140"/>
      <c r="G83" s="1131"/>
      <c r="H83" s="691">
        <v>6607490</v>
      </c>
      <c r="I83" s="691">
        <v>0</v>
      </c>
      <c r="J83" s="1128"/>
      <c r="K83" s="1128"/>
      <c r="L83" s="1129"/>
      <c r="M83" s="1129"/>
      <c r="N83" s="1128"/>
      <c r="O83" s="1128"/>
      <c r="P83" s="1129"/>
      <c r="Q83" s="1129"/>
      <c r="R83" s="1128"/>
      <c r="S83" s="1129"/>
      <c r="T83" s="1129"/>
      <c r="U83" s="1128"/>
      <c r="V83" s="1129"/>
      <c r="W83" s="1129"/>
    </row>
    <row r="84" spans="1:23" s="692" customFormat="1" ht="17.25" hidden="1" customHeight="1">
      <c r="A84" s="1124"/>
      <c r="B84" s="1125"/>
      <c r="C84" s="1126"/>
      <c r="D84" s="1137"/>
      <c r="E84" s="1124"/>
      <c r="F84" s="1140"/>
      <c r="G84" s="1131"/>
      <c r="H84" s="691">
        <v>0</v>
      </c>
      <c r="I84" s="691">
        <v>0</v>
      </c>
      <c r="J84" s="693">
        <f>K84+N84</f>
        <v>0</v>
      </c>
      <c r="K84" s="693">
        <f>L84+M84</f>
        <v>0</v>
      </c>
      <c r="L84" s="694">
        <v>0</v>
      </c>
      <c r="M84" s="694">
        <v>0</v>
      </c>
      <c r="N84" s="693">
        <f>O84+R84+U84</f>
        <v>0</v>
      </c>
      <c r="O84" s="693">
        <f>P84+Q84</f>
        <v>0</v>
      </c>
      <c r="P84" s="694">
        <v>0</v>
      </c>
      <c r="Q84" s="694">
        <v>0</v>
      </c>
      <c r="R84" s="693">
        <f>S84+T84</f>
        <v>0</v>
      </c>
      <c r="S84" s="694">
        <v>0</v>
      </c>
      <c r="T84" s="694">
        <v>0</v>
      </c>
      <c r="U84" s="693">
        <f>V84+W84</f>
        <v>0</v>
      </c>
      <c r="V84" s="694">
        <v>0</v>
      </c>
      <c r="W84" s="694">
        <v>0</v>
      </c>
    </row>
    <row r="85" spans="1:23" s="692" customFormat="1" ht="17.25" hidden="1" customHeight="1">
      <c r="A85" s="1124"/>
      <c r="B85" s="1125"/>
      <c r="C85" s="1126"/>
      <c r="D85" s="1137"/>
      <c r="E85" s="1124"/>
      <c r="F85" s="1140"/>
      <c r="G85" s="1131"/>
      <c r="H85" s="691">
        <v>1123443</v>
      </c>
      <c r="I85" s="691">
        <v>111952</v>
      </c>
      <c r="J85" s="1128">
        <f t="shared" ref="J85:W85" si="13">J82+J84</f>
        <v>1751271</v>
      </c>
      <c r="K85" s="1128">
        <f t="shared" si="13"/>
        <v>1147073</v>
      </c>
      <c r="L85" s="1129">
        <f t="shared" si="13"/>
        <v>8640</v>
      </c>
      <c r="M85" s="1129">
        <f t="shared" si="13"/>
        <v>1138433</v>
      </c>
      <c r="N85" s="1128">
        <f t="shared" si="13"/>
        <v>604198</v>
      </c>
      <c r="O85" s="1128">
        <f t="shared" si="13"/>
        <v>0</v>
      </c>
      <c r="P85" s="1129">
        <f t="shared" si="13"/>
        <v>0</v>
      </c>
      <c r="Q85" s="1129">
        <f t="shared" si="13"/>
        <v>0</v>
      </c>
      <c r="R85" s="1128">
        <f t="shared" si="13"/>
        <v>173955</v>
      </c>
      <c r="S85" s="1129">
        <f t="shared" si="13"/>
        <v>3360</v>
      </c>
      <c r="T85" s="1129">
        <f t="shared" si="13"/>
        <v>170595</v>
      </c>
      <c r="U85" s="1128">
        <f t="shared" si="13"/>
        <v>430243</v>
      </c>
      <c r="V85" s="1129">
        <f t="shared" si="13"/>
        <v>0</v>
      </c>
      <c r="W85" s="1129">
        <f t="shared" si="13"/>
        <v>430243</v>
      </c>
    </row>
    <row r="86" spans="1:23" s="692" customFormat="1" ht="17.25" hidden="1" customHeight="1">
      <c r="A86" s="1124"/>
      <c r="B86" s="1125"/>
      <c r="C86" s="1126"/>
      <c r="D86" s="1138"/>
      <c r="E86" s="1124"/>
      <c r="F86" s="1141"/>
      <c r="G86" s="1132"/>
      <c r="H86" s="691">
        <v>1685163</v>
      </c>
      <c r="I86" s="691">
        <v>0</v>
      </c>
      <c r="J86" s="1128"/>
      <c r="K86" s="1128"/>
      <c r="L86" s="1129"/>
      <c r="M86" s="1129"/>
      <c r="N86" s="1128"/>
      <c r="O86" s="1128"/>
      <c r="P86" s="1129"/>
      <c r="Q86" s="1129"/>
      <c r="R86" s="1128"/>
      <c r="S86" s="1129"/>
      <c r="T86" s="1129"/>
      <c r="U86" s="1128"/>
      <c r="V86" s="1129"/>
      <c r="W86" s="1129"/>
    </row>
    <row r="87" spans="1:23" s="692" customFormat="1" ht="17.25" hidden="1" customHeight="1">
      <c r="A87" s="1124">
        <v>6</v>
      </c>
      <c r="B87" s="1130" t="s">
        <v>770</v>
      </c>
      <c r="C87" s="1133" t="s">
        <v>760</v>
      </c>
      <c r="D87" s="1136" t="s">
        <v>771</v>
      </c>
      <c r="E87" s="1124" t="s">
        <v>733</v>
      </c>
      <c r="F87" s="1139" t="s">
        <v>767</v>
      </c>
      <c r="G87" s="1130" t="s">
        <v>772</v>
      </c>
      <c r="H87" s="691">
        <f>H88+H89+H90+H91</f>
        <v>1164822</v>
      </c>
      <c r="I87" s="691">
        <f>I88+I89+I90+I91</f>
        <v>263674</v>
      </c>
      <c r="J87" s="1128">
        <f>K87+N87</f>
        <v>901148</v>
      </c>
      <c r="K87" s="1128">
        <f>L87+M87</f>
        <v>0</v>
      </c>
      <c r="L87" s="1129">
        <v>0</v>
      </c>
      <c r="M87" s="1129">
        <v>0</v>
      </c>
      <c r="N87" s="1128">
        <f>O87+R87+U87</f>
        <v>901148</v>
      </c>
      <c r="O87" s="1128">
        <f>P87+Q87</f>
        <v>0</v>
      </c>
      <c r="P87" s="1129">
        <v>0</v>
      </c>
      <c r="Q87" s="1129">
        <v>0</v>
      </c>
      <c r="R87" s="1128">
        <f>S87+T87</f>
        <v>901148</v>
      </c>
      <c r="S87" s="1129">
        <v>0</v>
      </c>
      <c r="T87" s="1129">
        <v>901148</v>
      </c>
      <c r="U87" s="1128">
        <f>V87+W87</f>
        <v>0</v>
      </c>
      <c r="V87" s="1129">
        <v>0</v>
      </c>
      <c r="W87" s="1129">
        <v>0</v>
      </c>
    </row>
    <row r="88" spans="1:23" s="692" customFormat="1" ht="17.25" hidden="1" customHeight="1">
      <c r="A88" s="1124"/>
      <c r="B88" s="1131"/>
      <c r="C88" s="1134"/>
      <c r="D88" s="1137"/>
      <c r="E88" s="1124"/>
      <c r="F88" s="1140"/>
      <c r="G88" s="1131"/>
      <c r="H88" s="691">
        <v>0</v>
      </c>
      <c r="I88" s="691">
        <v>0</v>
      </c>
      <c r="J88" s="1128"/>
      <c r="K88" s="1128"/>
      <c r="L88" s="1129"/>
      <c r="M88" s="1129"/>
      <c r="N88" s="1128"/>
      <c r="O88" s="1128"/>
      <c r="P88" s="1129"/>
      <c r="Q88" s="1129"/>
      <c r="R88" s="1128"/>
      <c r="S88" s="1129"/>
      <c r="T88" s="1129"/>
      <c r="U88" s="1128"/>
      <c r="V88" s="1129"/>
      <c r="W88" s="1129"/>
    </row>
    <row r="89" spans="1:23" s="692" customFormat="1" ht="17.25" hidden="1" customHeight="1">
      <c r="A89" s="1124"/>
      <c r="B89" s="1131"/>
      <c r="C89" s="1134"/>
      <c r="D89" s="1137"/>
      <c r="E89" s="1124"/>
      <c r="F89" s="1140"/>
      <c r="G89" s="1131"/>
      <c r="H89" s="691">
        <v>0</v>
      </c>
      <c r="I89" s="691">
        <v>0</v>
      </c>
      <c r="J89" s="693">
        <f>K89+N89</f>
        <v>0</v>
      </c>
      <c r="K89" s="693">
        <f>L89+M89</f>
        <v>0</v>
      </c>
      <c r="L89" s="694">
        <v>0</v>
      </c>
      <c r="M89" s="694">
        <v>0</v>
      </c>
      <c r="N89" s="693">
        <f>O89+R89+U89</f>
        <v>0</v>
      </c>
      <c r="O89" s="693">
        <f>P89+Q89</f>
        <v>0</v>
      </c>
      <c r="P89" s="694">
        <v>0</v>
      </c>
      <c r="Q89" s="694">
        <v>0</v>
      </c>
      <c r="R89" s="693">
        <f>S89+T89</f>
        <v>0</v>
      </c>
      <c r="S89" s="694">
        <v>0</v>
      </c>
      <c r="T89" s="694">
        <v>0</v>
      </c>
      <c r="U89" s="693">
        <f>V89+W89</f>
        <v>0</v>
      </c>
      <c r="V89" s="694">
        <v>0</v>
      </c>
      <c r="W89" s="694">
        <v>0</v>
      </c>
    </row>
    <row r="90" spans="1:23" s="692" customFormat="1" ht="17.25" hidden="1" customHeight="1">
      <c r="A90" s="1124"/>
      <c r="B90" s="1131"/>
      <c r="C90" s="1134"/>
      <c r="D90" s="1137"/>
      <c r="E90" s="1124"/>
      <c r="F90" s="1140"/>
      <c r="G90" s="1131"/>
      <c r="H90" s="691">
        <v>1164822</v>
      </c>
      <c r="I90" s="691">
        <v>263674</v>
      </c>
      <c r="J90" s="1128">
        <f t="shared" ref="J90:W90" si="14">J87+J89</f>
        <v>901148</v>
      </c>
      <c r="K90" s="1128">
        <f t="shared" si="14"/>
        <v>0</v>
      </c>
      <c r="L90" s="1129">
        <f t="shared" si="14"/>
        <v>0</v>
      </c>
      <c r="M90" s="1129">
        <f t="shared" si="14"/>
        <v>0</v>
      </c>
      <c r="N90" s="1128">
        <f t="shared" si="14"/>
        <v>901148</v>
      </c>
      <c r="O90" s="1128">
        <f t="shared" si="14"/>
        <v>0</v>
      </c>
      <c r="P90" s="1129">
        <f t="shared" si="14"/>
        <v>0</v>
      </c>
      <c r="Q90" s="1129">
        <f t="shared" si="14"/>
        <v>0</v>
      </c>
      <c r="R90" s="1128">
        <f t="shared" si="14"/>
        <v>901148</v>
      </c>
      <c r="S90" s="1129">
        <f t="shared" si="14"/>
        <v>0</v>
      </c>
      <c r="T90" s="1129">
        <f t="shared" si="14"/>
        <v>901148</v>
      </c>
      <c r="U90" s="1128">
        <f t="shared" si="14"/>
        <v>0</v>
      </c>
      <c r="V90" s="1129">
        <f t="shared" si="14"/>
        <v>0</v>
      </c>
      <c r="W90" s="1129">
        <f t="shared" si="14"/>
        <v>0</v>
      </c>
    </row>
    <row r="91" spans="1:23" s="692" customFormat="1" ht="17.25" hidden="1" customHeight="1">
      <c r="A91" s="1124"/>
      <c r="B91" s="1132"/>
      <c r="C91" s="1135"/>
      <c r="D91" s="1138"/>
      <c r="E91" s="1124"/>
      <c r="F91" s="1141"/>
      <c r="G91" s="1132"/>
      <c r="H91" s="691">
        <v>0</v>
      </c>
      <c r="I91" s="691">
        <v>0</v>
      </c>
      <c r="J91" s="1128"/>
      <c r="K91" s="1128"/>
      <c r="L91" s="1129"/>
      <c r="M91" s="1129"/>
      <c r="N91" s="1128"/>
      <c r="O91" s="1128"/>
      <c r="P91" s="1129"/>
      <c r="Q91" s="1129"/>
      <c r="R91" s="1128"/>
      <c r="S91" s="1129"/>
      <c r="T91" s="1129"/>
      <c r="U91" s="1128"/>
      <c r="V91" s="1129"/>
      <c r="W91" s="1129"/>
    </row>
    <row r="92" spans="1:23" s="692" customFormat="1" ht="24.75" hidden="1" customHeight="1">
      <c r="A92" s="1124">
        <v>13</v>
      </c>
      <c r="B92" s="1130" t="s">
        <v>770</v>
      </c>
      <c r="C92" s="1133" t="s">
        <v>760</v>
      </c>
      <c r="D92" s="1136" t="s">
        <v>773</v>
      </c>
      <c r="E92" s="1124" t="s">
        <v>733</v>
      </c>
      <c r="F92" s="1139" t="s">
        <v>767</v>
      </c>
      <c r="G92" s="1130" t="s">
        <v>774</v>
      </c>
      <c r="H92" s="691">
        <f>H93+H94+H95+H96</f>
        <v>1432278</v>
      </c>
      <c r="I92" s="691">
        <f>I93+I94+I95+I96</f>
        <v>0</v>
      </c>
      <c r="J92" s="1128">
        <f>K92+N92</f>
        <v>758779</v>
      </c>
      <c r="K92" s="1128">
        <f>L92+M92</f>
        <v>0</v>
      </c>
      <c r="L92" s="1129">
        <v>0</v>
      </c>
      <c r="M92" s="1129">
        <v>0</v>
      </c>
      <c r="N92" s="1128">
        <f>O92+R92+U92</f>
        <v>758779</v>
      </c>
      <c r="O92" s="1128">
        <f>P92+Q92</f>
        <v>0</v>
      </c>
      <c r="P92" s="1129">
        <v>0</v>
      </c>
      <c r="Q92" s="1129">
        <v>0</v>
      </c>
      <c r="R92" s="1128">
        <f>S92+T92</f>
        <v>758779</v>
      </c>
      <c r="S92" s="1129">
        <v>0</v>
      </c>
      <c r="T92" s="1129">
        <v>758779</v>
      </c>
      <c r="U92" s="1128">
        <f>V92+W92</f>
        <v>0</v>
      </c>
      <c r="V92" s="1129">
        <v>0</v>
      </c>
      <c r="W92" s="1129">
        <v>0</v>
      </c>
    </row>
    <row r="93" spans="1:23" s="692" customFormat="1" ht="24.75" hidden="1" customHeight="1">
      <c r="A93" s="1124"/>
      <c r="B93" s="1131"/>
      <c r="C93" s="1134"/>
      <c r="D93" s="1137"/>
      <c r="E93" s="1124"/>
      <c r="F93" s="1140"/>
      <c r="G93" s="1131"/>
      <c r="H93" s="691">
        <v>0</v>
      </c>
      <c r="I93" s="691">
        <v>0</v>
      </c>
      <c r="J93" s="1128"/>
      <c r="K93" s="1128"/>
      <c r="L93" s="1129"/>
      <c r="M93" s="1129"/>
      <c r="N93" s="1128"/>
      <c r="O93" s="1128"/>
      <c r="P93" s="1129"/>
      <c r="Q93" s="1129"/>
      <c r="R93" s="1128"/>
      <c r="S93" s="1129"/>
      <c r="T93" s="1129"/>
      <c r="U93" s="1128"/>
      <c r="V93" s="1129"/>
      <c r="W93" s="1129"/>
    </row>
    <row r="94" spans="1:23" s="692" customFormat="1" ht="24.75" hidden="1" customHeight="1">
      <c r="A94" s="1124"/>
      <c r="B94" s="1131"/>
      <c r="C94" s="1134"/>
      <c r="D94" s="1137"/>
      <c r="E94" s="1124"/>
      <c r="F94" s="1140"/>
      <c r="G94" s="1131"/>
      <c r="H94" s="691">
        <v>0</v>
      </c>
      <c r="I94" s="691">
        <v>0</v>
      </c>
      <c r="J94" s="693">
        <f>K94+N94</f>
        <v>0</v>
      </c>
      <c r="K94" s="693">
        <f>L94+M94</f>
        <v>0</v>
      </c>
      <c r="L94" s="694">
        <v>0</v>
      </c>
      <c r="M94" s="694">
        <v>0</v>
      </c>
      <c r="N94" s="693">
        <f>O94+R94+U94</f>
        <v>0</v>
      </c>
      <c r="O94" s="693">
        <f>P94+Q94</f>
        <v>0</v>
      </c>
      <c r="P94" s="694">
        <v>0</v>
      </c>
      <c r="Q94" s="694">
        <v>0</v>
      </c>
      <c r="R94" s="693">
        <f>S94+T94</f>
        <v>0</v>
      </c>
      <c r="S94" s="694">
        <v>0</v>
      </c>
      <c r="T94" s="694">
        <v>0</v>
      </c>
      <c r="U94" s="693">
        <f>V94+W94</f>
        <v>0</v>
      </c>
      <c r="V94" s="694">
        <v>0</v>
      </c>
      <c r="W94" s="694">
        <v>0</v>
      </c>
    </row>
    <row r="95" spans="1:23" s="692" customFormat="1" ht="24.75" hidden="1" customHeight="1">
      <c r="A95" s="1124"/>
      <c r="B95" s="1131"/>
      <c r="C95" s="1134"/>
      <c r="D95" s="1137"/>
      <c r="E95" s="1124"/>
      <c r="F95" s="1140"/>
      <c r="G95" s="1131"/>
      <c r="H95" s="691">
        <v>1432278</v>
      </c>
      <c r="I95" s="691">
        <v>0</v>
      </c>
      <c r="J95" s="1128">
        <f t="shared" ref="J95:W95" si="15">J92+J94</f>
        <v>758779</v>
      </c>
      <c r="K95" s="1128">
        <f t="shared" si="15"/>
        <v>0</v>
      </c>
      <c r="L95" s="1129">
        <f t="shared" si="15"/>
        <v>0</v>
      </c>
      <c r="M95" s="1129">
        <f t="shared" si="15"/>
        <v>0</v>
      </c>
      <c r="N95" s="1128">
        <f t="shared" si="15"/>
        <v>758779</v>
      </c>
      <c r="O95" s="1128">
        <f t="shared" si="15"/>
        <v>0</v>
      </c>
      <c r="P95" s="1129">
        <f t="shared" si="15"/>
        <v>0</v>
      </c>
      <c r="Q95" s="1129">
        <f t="shared" si="15"/>
        <v>0</v>
      </c>
      <c r="R95" s="1128">
        <f t="shared" si="15"/>
        <v>758779</v>
      </c>
      <c r="S95" s="1129">
        <f t="shared" si="15"/>
        <v>0</v>
      </c>
      <c r="T95" s="1129">
        <f t="shared" si="15"/>
        <v>758779</v>
      </c>
      <c r="U95" s="1128">
        <f t="shared" si="15"/>
        <v>0</v>
      </c>
      <c r="V95" s="1129">
        <f t="shared" si="15"/>
        <v>0</v>
      </c>
      <c r="W95" s="1129">
        <f t="shared" si="15"/>
        <v>0</v>
      </c>
    </row>
    <row r="96" spans="1:23" s="692" customFormat="1" ht="24.75" hidden="1" customHeight="1">
      <c r="A96" s="1124"/>
      <c r="B96" s="1132"/>
      <c r="C96" s="1135"/>
      <c r="D96" s="1138"/>
      <c r="E96" s="1124"/>
      <c r="F96" s="1141"/>
      <c r="G96" s="1132"/>
      <c r="H96" s="691">
        <v>0</v>
      </c>
      <c r="I96" s="691">
        <v>0</v>
      </c>
      <c r="J96" s="1128"/>
      <c r="K96" s="1128"/>
      <c r="L96" s="1129"/>
      <c r="M96" s="1129"/>
      <c r="N96" s="1128"/>
      <c r="O96" s="1128"/>
      <c r="P96" s="1129"/>
      <c r="Q96" s="1129"/>
      <c r="R96" s="1128"/>
      <c r="S96" s="1129"/>
      <c r="T96" s="1129"/>
      <c r="U96" s="1128"/>
      <c r="V96" s="1129"/>
      <c r="W96" s="1129"/>
    </row>
    <row r="97" spans="1:23" s="692" customFormat="1" ht="17.25" hidden="1" customHeight="1">
      <c r="A97" s="1124">
        <v>14</v>
      </c>
      <c r="B97" s="1130" t="s">
        <v>770</v>
      </c>
      <c r="C97" s="1133" t="s">
        <v>760</v>
      </c>
      <c r="D97" s="1136" t="s">
        <v>775</v>
      </c>
      <c r="E97" s="1124" t="s">
        <v>762</v>
      </c>
      <c r="F97" s="1139" t="s">
        <v>767</v>
      </c>
      <c r="G97" s="1130" t="s">
        <v>768</v>
      </c>
      <c r="H97" s="691">
        <f>H98+H99+H100+H101</f>
        <v>14700399</v>
      </c>
      <c r="I97" s="691">
        <f>I98+I99+I100+I101</f>
        <v>263973</v>
      </c>
      <c r="J97" s="1128">
        <f>K97+N97</f>
        <v>1005950</v>
      </c>
      <c r="K97" s="1128">
        <f>L97+M97</f>
        <v>577185</v>
      </c>
      <c r="L97" s="1129">
        <v>11796</v>
      </c>
      <c r="M97" s="1129">
        <v>565389</v>
      </c>
      <c r="N97" s="1128">
        <f>O97+R97+U97</f>
        <v>428765</v>
      </c>
      <c r="O97" s="1128">
        <f>P97+Q97</f>
        <v>0</v>
      </c>
      <c r="P97" s="1129">
        <v>0</v>
      </c>
      <c r="Q97" s="1129">
        <v>0</v>
      </c>
      <c r="R97" s="1128">
        <f>S97+T97</f>
        <v>50613</v>
      </c>
      <c r="S97" s="1129">
        <v>8204</v>
      </c>
      <c r="T97" s="1129">
        <v>42409</v>
      </c>
      <c r="U97" s="1128">
        <f>V97+W97</f>
        <v>378152</v>
      </c>
      <c r="V97" s="1129">
        <v>0</v>
      </c>
      <c r="W97" s="1129">
        <v>378152</v>
      </c>
    </row>
    <row r="98" spans="1:23" s="692" customFormat="1" ht="17.25" hidden="1" customHeight="1">
      <c r="A98" s="1124"/>
      <c r="B98" s="1131"/>
      <c r="C98" s="1134"/>
      <c r="D98" s="1137"/>
      <c r="E98" s="1124"/>
      <c r="F98" s="1140"/>
      <c r="G98" s="1131"/>
      <c r="H98" s="691">
        <v>8093119</v>
      </c>
      <c r="I98" s="691">
        <v>63029</v>
      </c>
      <c r="J98" s="1128"/>
      <c r="K98" s="1128"/>
      <c r="L98" s="1129"/>
      <c r="M98" s="1129"/>
      <c r="N98" s="1128"/>
      <c r="O98" s="1128"/>
      <c r="P98" s="1129"/>
      <c r="Q98" s="1129"/>
      <c r="R98" s="1128"/>
      <c r="S98" s="1129"/>
      <c r="T98" s="1129"/>
      <c r="U98" s="1128"/>
      <c r="V98" s="1129"/>
      <c r="W98" s="1129"/>
    </row>
    <row r="99" spans="1:23" s="692" customFormat="1" ht="17.25" hidden="1" customHeight="1">
      <c r="A99" s="1124"/>
      <c r="B99" s="1131"/>
      <c r="C99" s="1134"/>
      <c r="D99" s="1137"/>
      <c r="E99" s="1124"/>
      <c r="F99" s="1140"/>
      <c r="G99" s="1131"/>
      <c r="H99" s="691">
        <v>0</v>
      </c>
      <c r="I99" s="691">
        <v>0</v>
      </c>
      <c r="J99" s="693">
        <f>K99+N99</f>
        <v>0</v>
      </c>
      <c r="K99" s="693">
        <f>L99+M99</f>
        <v>0</v>
      </c>
      <c r="L99" s="694">
        <v>0</v>
      </c>
      <c r="M99" s="694">
        <v>0</v>
      </c>
      <c r="N99" s="693">
        <f>O99+R99+U99</f>
        <v>0</v>
      </c>
      <c r="O99" s="693">
        <f>P99+Q99</f>
        <v>0</v>
      </c>
      <c r="P99" s="694">
        <v>0</v>
      </c>
      <c r="Q99" s="694">
        <v>0</v>
      </c>
      <c r="R99" s="693">
        <f>S99+T99</f>
        <v>0</v>
      </c>
      <c r="S99" s="694">
        <v>0</v>
      </c>
      <c r="T99" s="694">
        <v>0</v>
      </c>
      <c r="U99" s="693">
        <f>V99+W99</f>
        <v>0</v>
      </c>
      <c r="V99" s="694">
        <v>0</v>
      </c>
      <c r="W99" s="694">
        <v>0</v>
      </c>
    </row>
    <row r="100" spans="1:23" s="692" customFormat="1" ht="17.25" hidden="1" customHeight="1">
      <c r="A100" s="1124"/>
      <c r="B100" s="1131"/>
      <c r="C100" s="1134"/>
      <c r="D100" s="1137"/>
      <c r="E100" s="1124"/>
      <c r="F100" s="1140"/>
      <c r="G100" s="1131"/>
      <c r="H100" s="691">
        <v>2577666</v>
      </c>
      <c r="I100" s="691">
        <v>200944</v>
      </c>
      <c r="J100" s="1128">
        <f t="shared" ref="J100:W100" si="16">J97+J99</f>
        <v>1005950</v>
      </c>
      <c r="K100" s="1128">
        <f t="shared" si="16"/>
        <v>577185</v>
      </c>
      <c r="L100" s="1129">
        <f t="shared" si="16"/>
        <v>11796</v>
      </c>
      <c r="M100" s="1129">
        <f t="shared" si="16"/>
        <v>565389</v>
      </c>
      <c r="N100" s="1128">
        <f t="shared" si="16"/>
        <v>428765</v>
      </c>
      <c r="O100" s="1128">
        <f t="shared" si="16"/>
        <v>0</v>
      </c>
      <c r="P100" s="1129">
        <f t="shared" si="16"/>
        <v>0</v>
      </c>
      <c r="Q100" s="1129">
        <f t="shared" si="16"/>
        <v>0</v>
      </c>
      <c r="R100" s="1128">
        <f t="shared" si="16"/>
        <v>50613</v>
      </c>
      <c r="S100" s="1129">
        <f t="shared" si="16"/>
        <v>8204</v>
      </c>
      <c r="T100" s="1129">
        <f t="shared" si="16"/>
        <v>42409</v>
      </c>
      <c r="U100" s="1128">
        <f t="shared" si="16"/>
        <v>378152</v>
      </c>
      <c r="V100" s="1129">
        <f t="shared" si="16"/>
        <v>0</v>
      </c>
      <c r="W100" s="1129">
        <f t="shared" si="16"/>
        <v>378152</v>
      </c>
    </row>
    <row r="101" spans="1:23" s="692" customFormat="1" ht="17.25" hidden="1" customHeight="1">
      <c r="A101" s="1124"/>
      <c r="B101" s="1132"/>
      <c r="C101" s="1135"/>
      <c r="D101" s="1138"/>
      <c r="E101" s="1124"/>
      <c r="F101" s="1141"/>
      <c r="G101" s="1132"/>
      <c r="H101" s="691">
        <v>4029614</v>
      </c>
      <c r="I101" s="691">
        <v>0</v>
      </c>
      <c r="J101" s="1128"/>
      <c r="K101" s="1128"/>
      <c r="L101" s="1129"/>
      <c r="M101" s="1129"/>
      <c r="N101" s="1128"/>
      <c r="O101" s="1128"/>
      <c r="P101" s="1129"/>
      <c r="Q101" s="1129"/>
      <c r="R101" s="1128"/>
      <c r="S101" s="1129"/>
      <c r="T101" s="1129"/>
      <c r="U101" s="1128"/>
      <c r="V101" s="1129"/>
      <c r="W101" s="1129"/>
    </row>
    <row r="102" spans="1:23" s="692" customFormat="1" ht="15.75" hidden="1" customHeight="1">
      <c r="A102" s="1124">
        <v>8</v>
      </c>
      <c r="B102" s="1130" t="s">
        <v>770</v>
      </c>
      <c r="C102" s="1133" t="s">
        <v>760</v>
      </c>
      <c r="D102" s="1136" t="s">
        <v>766</v>
      </c>
      <c r="E102" s="1124" t="s">
        <v>762</v>
      </c>
      <c r="F102" s="1139" t="s">
        <v>767</v>
      </c>
      <c r="G102" s="1130" t="s">
        <v>776</v>
      </c>
      <c r="H102" s="691">
        <f>H103+H104+H105+H106</f>
        <v>0</v>
      </c>
      <c r="I102" s="691">
        <f>I103+I104+I105+I106</f>
        <v>0</v>
      </c>
      <c r="J102" s="1128">
        <f>K102+N102</f>
        <v>0</v>
      </c>
      <c r="K102" s="1128">
        <f>L102+M102</f>
        <v>0</v>
      </c>
      <c r="L102" s="1129">
        <v>0</v>
      </c>
      <c r="M102" s="1129">
        <v>0</v>
      </c>
      <c r="N102" s="1128">
        <f>O102+R102+U102</f>
        <v>0</v>
      </c>
      <c r="O102" s="1128">
        <f>P102+Q102</f>
        <v>0</v>
      </c>
      <c r="P102" s="1129">
        <v>0</v>
      </c>
      <c r="Q102" s="1129">
        <v>0</v>
      </c>
      <c r="R102" s="1128">
        <f>S102+T102</f>
        <v>0</v>
      </c>
      <c r="S102" s="1129">
        <v>0</v>
      </c>
      <c r="T102" s="1129">
        <v>0</v>
      </c>
      <c r="U102" s="1128">
        <f>V102+W102</f>
        <v>0</v>
      </c>
      <c r="V102" s="1129">
        <v>0</v>
      </c>
      <c r="W102" s="1129">
        <v>0</v>
      </c>
    </row>
    <row r="103" spans="1:23" s="692" customFormat="1" ht="15.75" hidden="1" customHeight="1">
      <c r="A103" s="1124"/>
      <c r="B103" s="1131"/>
      <c r="C103" s="1134"/>
      <c r="D103" s="1137"/>
      <c r="E103" s="1124"/>
      <c r="F103" s="1140"/>
      <c r="G103" s="1131"/>
      <c r="H103" s="691">
        <v>0</v>
      </c>
      <c r="I103" s="691">
        <v>0</v>
      </c>
      <c r="J103" s="1128"/>
      <c r="K103" s="1128"/>
      <c r="L103" s="1129"/>
      <c r="M103" s="1129"/>
      <c r="N103" s="1128"/>
      <c r="O103" s="1128"/>
      <c r="P103" s="1129"/>
      <c r="Q103" s="1129"/>
      <c r="R103" s="1128"/>
      <c r="S103" s="1129"/>
      <c r="T103" s="1129"/>
      <c r="U103" s="1128"/>
      <c r="V103" s="1129"/>
      <c r="W103" s="1129"/>
    </row>
    <row r="104" spans="1:23" s="692" customFormat="1" ht="15.75" hidden="1" customHeight="1">
      <c r="A104" s="1124"/>
      <c r="B104" s="1131"/>
      <c r="C104" s="1134"/>
      <c r="D104" s="1137"/>
      <c r="E104" s="1124"/>
      <c r="F104" s="1140"/>
      <c r="G104" s="1131"/>
      <c r="H104" s="691">
        <v>0</v>
      </c>
      <c r="I104" s="691">
        <v>0</v>
      </c>
      <c r="J104" s="693">
        <f>K104+N104</f>
        <v>0</v>
      </c>
      <c r="K104" s="693">
        <f>L104+M104</f>
        <v>0</v>
      </c>
      <c r="L104" s="694">
        <v>0</v>
      </c>
      <c r="M104" s="694">
        <v>0</v>
      </c>
      <c r="N104" s="693">
        <f>O104+R104+U104</f>
        <v>0</v>
      </c>
      <c r="O104" s="693">
        <f>P104+Q104</f>
        <v>0</v>
      </c>
      <c r="P104" s="694">
        <v>0</v>
      </c>
      <c r="Q104" s="694">
        <v>0</v>
      </c>
      <c r="R104" s="693">
        <f>S104+T104</f>
        <v>0</v>
      </c>
      <c r="S104" s="694">
        <v>0</v>
      </c>
      <c r="T104" s="694">
        <v>0</v>
      </c>
      <c r="U104" s="693">
        <f>V104+W104</f>
        <v>0</v>
      </c>
      <c r="V104" s="694">
        <v>0</v>
      </c>
      <c r="W104" s="694">
        <v>0</v>
      </c>
    </row>
    <row r="105" spans="1:23" s="692" customFormat="1" ht="15.75" hidden="1" customHeight="1">
      <c r="A105" s="1124"/>
      <c r="B105" s="1131"/>
      <c r="C105" s="1134"/>
      <c r="D105" s="1137"/>
      <c r="E105" s="1124"/>
      <c r="F105" s="1140"/>
      <c r="G105" s="1131"/>
      <c r="H105" s="691">
        <v>0</v>
      </c>
      <c r="I105" s="691">
        <v>0</v>
      </c>
      <c r="J105" s="1128">
        <f t="shared" ref="J105:W105" si="17">J102+J104</f>
        <v>0</v>
      </c>
      <c r="K105" s="1128">
        <f t="shared" si="17"/>
        <v>0</v>
      </c>
      <c r="L105" s="1129">
        <f t="shared" si="17"/>
        <v>0</v>
      </c>
      <c r="M105" s="1129">
        <f t="shared" si="17"/>
        <v>0</v>
      </c>
      <c r="N105" s="1128">
        <f t="shared" si="17"/>
        <v>0</v>
      </c>
      <c r="O105" s="1128">
        <f t="shared" si="17"/>
        <v>0</v>
      </c>
      <c r="P105" s="1129">
        <f t="shared" si="17"/>
        <v>0</v>
      </c>
      <c r="Q105" s="1129">
        <f t="shared" si="17"/>
        <v>0</v>
      </c>
      <c r="R105" s="1128">
        <f t="shared" si="17"/>
        <v>0</v>
      </c>
      <c r="S105" s="1129">
        <f t="shared" si="17"/>
        <v>0</v>
      </c>
      <c r="T105" s="1129">
        <f t="shared" si="17"/>
        <v>0</v>
      </c>
      <c r="U105" s="1128">
        <f t="shared" si="17"/>
        <v>0</v>
      </c>
      <c r="V105" s="1129">
        <f t="shared" si="17"/>
        <v>0</v>
      </c>
      <c r="W105" s="1129">
        <f t="shared" si="17"/>
        <v>0</v>
      </c>
    </row>
    <row r="106" spans="1:23" s="692" customFormat="1" ht="15.75" hidden="1" customHeight="1">
      <c r="A106" s="1124"/>
      <c r="B106" s="1132"/>
      <c r="C106" s="1135"/>
      <c r="D106" s="1138"/>
      <c r="E106" s="1124"/>
      <c r="F106" s="1141"/>
      <c r="G106" s="1132"/>
      <c r="H106" s="691">
        <v>0</v>
      </c>
      <c r="I106" s="691">
        <v>0</v>
      </c>
      <c r="J106" s="1128"/>
      <c r="K106" s="1128"/>
      <c r="L106" s="1129"/>
      <c r="M106" s="1129"/>
      <c r="N106" s="1128"/>
      <c r="O106" s="1128"/>
      <c r="P106" s="1129"/>
      <c r="Q106" s="1129"/>
      <c r="R106" s="1128"/>
      <c r="S106" s="1129"/>
      <c r="T106" s="1129"/>
      <c r="U106" s="1128"/>
      <c r="V106" s="1129"/>
      <c r="W106" s="1129"/>
    </row>
    <row r="107" spans="1:23" s="692" customFormat="1" ht="15.75" hidden="1" customHeight="1">
      <c r="A107" s="1124">
        <v>9</v>
      </c>
      <c r="B107" s="1130" t="s">
        <v>770</v>
      </c>
      <c r="C107" s="1133" t="s">
        <v>760</v>
      </c>
      <c r="D107" s="1136" t="s">
        <v>769</v>
      </c>
      <c r="E107" s="1124" t="s">
        <v>762</v>
      </c>
      <c r="F107" s="1139" t="s">
        <v>767</v>
      </c>
      <c r="G107" s="1130" t="s">
        <v>776</v>
      </c>
      <c r="H107" s="691">
        <f>H108+H109+H110+H111</f>
        <v>0</v>
      </c>
      <c r="I107" s="691">
        <f>I108+I109+I110+I111</f>
        <v>0</v>
      </c>
      <c r="J107" s="1128">
        <f>K107+N107</f>
        <v>0</v>
      </c>
      <c r="K107" s="1128">
        <f>L107+M107</f>
        <v>0</v>
      </c>
      <c r="L107" s="1129">
        <v>0</v>
      </c>
      <c r="M107" s="1129">
        <v>0</v>
      </c>
      <c r="N107" s="1128">
        <f>O107+R107+U107</f>
        <v>0</v>
      </c>
      <c r="O107" s="1128">
        <f>P107+Q107</f>
        <v>0</v>
      </c>
      <c r="P107" s="1129">
        <v>0</v>
      </c>
      <c r="Q107" s="1129">
        <v>0</v>
      </c>
      <c r="R107" s="1128">
        <f>S107+T107</f>
        <v>0</v>
      </c>
      <c r="S107" s="1129">
        <v>0</v>
      </c>
      <c r="T107" s="1129">
        <v>0</v>
      </c>
      <c r="U107" s="1128">
        <f>V107+W107</f>
        <v>0</v>
      </c>
      <c r="V107" s="1129">
        <v>0</v>
      </c>
      <c r="W107" s="1129">
        <v>0</v>
      </c>
    </row>
    <row r="108" spans="1:23" s="692" customFormat="1" ht="15.75" hidden="1" customHeight="1">
      <c r="A108" s="1124"/>
      <c r="B108" s="1131"/>
      <c r="C108" s="1134"/>
      <c r="D108" s="1137"/>
      <c r="E108" s="1124"/>
      <c r="F108" s="1140"/>
      <c r="G108" s="1131"/>
      <c r="H108" s="691">
        <v>0</v>
      </c>
      <c r="I108" s="691">
        <v>0</v>
      </c>
      <c r="J108" s="1128"/>
      <c r="K108" s="1128"/>
      <c r="L108" s="1129"/>
      <c r="M108" s="1129"/>
      <c r="N108" s="1128"/>
      <c r="O108" s="1128"/>
      <c r="P108" s="1129"/>
      <c r="Q108" s="1129"/>
      <c r="R108" s="1128"/>
      <c r="S108" s="1129"/>
      <c r="T108" s="1129"/>
      <c r="U108" s="1128"/>
      <c r="V108" s="1129"/>
      <c r="W108" s="1129"/>
    </row>
    <row r="109" spans="1:23" s="692" customFormat="1" ht="15.75" hidden="1" customHeight="1">
      <c r="A109" s="1124"/>
      <c r="B109" s="1131"/>
      <c r="C109" s="1134"/>
      <c r="D109" s="1137"/>
      <c r="E109" s="1124"/>
      <c r="F109" s="1140"/>
      <c r="G109" s="1131"/>
      <c r="H109" s="691">
        <v>0</v>
      </c>
      <c r="I109" s="691">
        <v>0</v>
      </c>
      <c r="J109" s="693">
        <f>K109+N109</f>
        <v>0</v>
      </c>
      <c r="K109" s="693">
        <f>L109+M109</f>
        <v>0</v>
      </c>
      <c r="L109" s="694">
        <v>0</v>
      </c>
      <c r="M109" s="694">
        <v>0</v>
      </c>
      <c r="N109" s="693">
        <f>O109+R109+U109</f>
        <v>0</v>
      </c>
      <c r="O109" s="693">
        <f>P109+Q109</f>
        <v>0</v>
      </c>
      <c r="P109" s="694">
        <v>0</v>
      </c>
      <c r="Q109" s="694">
        <v>0</v>
      </c>
      <c r="R109" s="693">
        <f>S109+T109</f>
        <v>0</v>
      </c>
      <c r="S109" s="694">
        <v>0</v>
      </c>
      <c r="T109" s="694">
        <v>0</v>
      </c>
      <c r="U109" s="693">
        <f>V109+W109</f>
        <v>0</v>
      </c>
      <c r="V109" s="694">
        <v>0</v>
      </c>
      <c r="W109" s="694">
        <v>0</v>
      </c>
    </row>
    <row r="110" spans="1:23" s="692" customFormat="1" ht="15.75" hidden="1" customHeight="1">
      <c r="A110" s="1124"/>
      <c r="B110" s="1131"/>
      <c r="C110" s="1134"/>
      <c r="D110" s="1137"/>
      <c r="E110" s="1124"/>
      <c r="F110" s="1140"/>
      <c r="G110" s="1131"/>
      <c r="H110" s="691">
        <v>0</v>
      </c>
      <c r="I110" s="691">
        <v>0</v>
      </c>
      <c r="J110" s="1128">
        <f t="shared" ref="J110:W110" si="18">J107+J109</f>
        <v>0</v>
      </c>
      <c r="K110" s="1128">
        <f t="shared" si="18"/>
        <v>0</v>
      </c>
      <c r="L110" s="1129">
        <f t="shared" si="18"/>
        <v>0</v>
      </c>
      <c r="M110" s="1129">
        <f t="shared" si="18"/>
        <v>0</v>
      </c>
      <c r="N110" s="1128">
        <f t="shared" si="18"/>
        <v>0</v>
      </c>
      <c r="O110" s="1128">
        <f t="shared" si="18"/>
        <v>0</v>
      </c>
      <c r="P110" s="1129">
        <f t="shared" si="18"/>
        <v>0</v>
      </c>
      <c r="Q110" s="1129">
        <f t="shared" si="18"/>
        <v>0</v>
      </c>
      <c r="R110" s="1128">
        <f t="shared" si="18"/>
        <v>0</v>
      </c>
      <c r="S110" s="1129">
        <f t="shared" si="18"/>
        <v>0</v>
      </c>
      <c r="T110" s="1129">
        <f t="shared" si="18"/>
        <v>0</v>
      </c>
      <c r="U110" s="1128">
        <f t="shared" si="18"/>
        <v>0</v>
      </c>
      <c r="V110" s="1129">
        <f t="shared" si="18"/>
        <v>0</v>
      </c>
      <c r="W110" s="1129">
        <f t="shared" si="18"/>
        <v>0</v>
      </c>
    </row>
    <row r="111" spans="1:23" s="692" customFormat="1" ht="15.75" hidden="1" customHeight="1">
      <c r="A111" s="1124"/>
      <c r="B111" s="1132"/>
      <c r="C111" s="1135"/>
      <c r="D111" s="1138"/>
      <c r="E111" s="1124"/>
      <c r="F111" s="1141"/>
      <c r="G111" s="1132"/>
      <c r="H111" s="691">
        <v>0</v>
      </c>
      <c r="I111" s="691">
        <v>0</v>
      </c>
      <c r="J111" s="1128"/>
      <c r="K111" s="1128"/>
      <c r="L111" s="1129"/>
      <c r="M111" s="1129"/>
      <c r="N111" s="1128"/>
      <c r="O111" s="1128"/>
      <c r="P111" s="1129"/>
      <c r="Q111" s="1129"/>
      <c r="R111" s="1128"/>
      <c r="S111" s="1129"/>
      <c r="T111" s="1129"/>
      <c r="U111" s="1128"/>
      <c r="V111" s="1129"/>
      <c r="W111" s="1129"/>
    </row>
    <row r="112" spans="1:23" s="692" customFormat="1" ht="15.75" hidden="1" customHeight="1">
      <c r="A112" s="1124">
        <v>15</v>
      </c>
      <c r="B112" s="1125" t="s">
        <v>667</v>
      </c>
      <c r="C112" s="1126" t="s">
        <v>777</v>
      </c>
      <c r="D112" s="1127" t="s">
        <v>778</v>
      </c>
      <c r="E112" s="1124" t="s">
        <v>733</v>
      </c>
      <c r="F112" s="1124" t="s">
        <v>779</v>
      </c>
      <c r="G112" s="1125" t="s">
        <v>780</v>
      </c>
      <c r="H112" s="691">
        <f>H113+H114+H115+H116</f>
        <v>9745374</v>
      </c>
      <c r="I112" s="691">
        <f>I113+I114+I115+I116</f>
        <v>170966</v>
      </c>
      <c r="J112" s="1128">
        <f>K112+N112</f>
        <v>300000</v>
      </c>
      <c r="K112" s="1128">
        <f>L112+M112</f>
        <v>300000</v>
      </c>
      <c r="L112" s="1129">
        <v>300000</v>
      </c>
      <c r="M112" s="1129">
        <v>0</v>
      </c>
      <c r="N112" s="1128">
        <f>O112+R112+U112</f>
        <v>0</v>
      </c>
      <c r="O112" s="1128">
        <f>P112+Q112</f>
        <v>0</v>
      </c>
      <c r="P112" s="1129">
        <v>0</v>
      </c>
      <c r="Q112" s="1129">
        <v>0</v>
      </c>
      <c r="R112" s="1128">
        <f>S112+T112</f>
        <v>0</v>
      </c>
      <c r="S112" s="1129">
        <v>0</v>
      </c>
      <c r="T112" s="1129">
        <v>0</v>
      </c>
      <c r="U112" s="1128">
        <f>V112+W112</f>
        <v>0</v>
      </c>
      <c r="V112" s="1129">
        <v>0</v>
      </c>
      <c r="W112" s="1129">
        <v>0</v>
      </c>
    </row>
    <row r="113" spans="1:23" s="692" customFormat="1" ht="15.75" hidden="1" customHeight="1">
      <c r="A113" s="1124"/>
      <c r="B113" s="1125"/>
      <c r="C113" s="1126"/>
      <c r="D113" s="1127"/>
      <c r="E113" s="1124"/>
      <c r="F113" s="1124"/>
      <c r="G113" s="1125"/>
      <c r="H113" s="691">
        <v>9745374</v>
      </c>
      <c r="I113" s="691">
        <v>170966</v>
      </c>
      <c r="J113" s="1128"/>
      <c r="K113" s="1128"/>
      <c r="L113" s="1129"/>
      <c r="M113" s="1129"/>
      <c r="N113" s="1128"/>
      <c r="O113" s="1128"/>
      <c r="P113" s="1129"/>
      <c r="Q113" s="1129"/>
      <c r="R113" s="1128"/>
      <c r="S113" s="1129"/>
      <c r="T113" s="1129"/>
      <c r="U113" s="1128"/>
      <c r="V113" s="1129"/>
      <c r="W113" s="1129"/>
    </row>
    <row r="114" spans="1:23" s="692" customFormat="1" ht="15.75" hidden="1" customHeight="1">
      <c r="A114" s="1124"/>
      <c r="B114" s="1125"/>
      <c r="C114" s="1126"/>
      <c r="D114" s="1127"/>
      <c r="E114" s="1124"/>
      <c r="F114" s="1124"/>
      <c r="G114" s="1125"/>
      <c r="H114" s="691">
        <v>0</v>
      </c>
      <c r="I114" s="691">
        <v>0</v>
      </c>
      <c r="J114" s="693">
        <f>K114+N114</f>
        <v>0</v>
      </c>
      <c r="K114" s="693">
        <f>L114+M114</f>
        <v>0</v>
      </c>
      <c r="L114" s="694">
        <v>0</v>
      </c>
      <c r="M114" s="694">
        <v>0</v>
      </c>
      <c r="N114" s="693">
        <f>O114+R114+U114</f>
        <v>0</v>
      </c>
      <c r="O114" s="693">
        <f>P114+Q114</f>
        <v>0</v>
      </c>
      <c r="P114" s="694">
        <v>0</v>
      </c>
      <c r="Q114" s="694">
        <v>0</v>
      </c>
      <c r="R114" s="693">
        <f>S114+T114</f>
        <v>0</v>
      </c>
      <c r="S114" s="694">
        <v>0</v>
      </c>
      <c r="T114" s="694">
        <v>0</v>
      </c>
      <c r="U114" s="693">
        <f>V114+W114</f>
        <v>0</v>
      </c>
      <c r="V114" s="694">
        <v>0</v>
      </c>
      <c r="W114" s="694">
        <v>0</v>
      </c>
    </row>
    <row r="115" spans="1:23" s="692" customFormat="1" ht="15.75" hidden="1" customHeight="1">
      <c r="A115" s="1124"/>
      <c r="B115" s="1125"/>
      <c r="C115" s="1126"/>
      <c r="D115" s="1127"/>
      <c r="E115" s="1124"/>
      <c r="F115" s="1124"/>
      <c r="G115" s="1125"/>
      <c r="H115" s="691">
        <v>0</v>
      </c>
      <c r="I115" s="691">
        <v>0</v>
      </c>
      <c r="J115" s="1128">
        <f t="shared" ref="J115:W115" si="19">J112+J114</f>
        <v>300000</v>
      </c>
      <c r="K115" s="1128">
        <f t="shared" si="19"/>
        <v>300000</v>
      </c>
      <c r="L115" s="1129">
        <f t="shared" si="19"/>
        <v>300000</v>
      </c>
      <c r="M115" s="1129">
        <f t="shared" si="19"/>
        <v>0</v>
      </c>
      <c r="N115" s="1128">
        <f t="shared" si="19"/>
        <v>0</v>
      </c>
      <c r="O115" s="1128">
        <f t="shared" si="19"/>
        <v>0</v>
      </c>
      <c r="P115" s="1129">
        <f t="shared" si="19"/>
        <v>0</v>
      </c>
      <c r="Q115" s="1129">
        <f t="shared" si="19"/>
        <v>0</v>
      </c>
      <c r="R115" s="1128">
        <f t="shared" si="19"/>
        <v>0</v>
      </c>
      <c r="S115" s="1129">
        <f t="shared" si="19"/>
        <v>0</v>
      </c>
      <c r="T115" s="1129">
        <f t="shared" si="19"/>
        <v>0</v>
      </c>
      <c r="U115" s="1128">
        <f t="shared" si="19"/>
        <v>0</v>
      </c>
      <c r="V115" s="1129">
        <f t="shared" si="19"/>
        <v>0</v>
      </c>
      <c r="W115" s="1129">
        <f t="shared" si="19"/>
        <v>0</v>
      </c>
    </row>
    <row r="116" spans="1:23" s="692" customFormat="1" ht="15.75" hidden="1" customHeight="1">
      <c r="A116" s="1124"/>
      <c r="B116" s="1125"/>
      <c r="C116" s="1126"/>
      <c r="D116" s="1127"/>
      <c r="E116" s="1124"/>
      <c r="F116" s="1124"/>
      <c r="G116" s="1125"/>
      <c r="H116" s="691">
        <v>0</v>
      </c>
      <c r="I116" s="691">
        <v>0</v>
      </c>
      <c r="J116" s="1128"/>
      <c r="K116" s="1128"/>
      <c r="L116" s="1129"/>
      <c r="M116" s="1129"/>
      <c r="N116" s="1128"/>
      <c r="O116" s="1128"/>
      <c r="P116" s="1129"/>
      <c r="Q116" s="1129"/>
      <c r="R116" s="1128"/>
      <c r="S116" s="1129"/>
      <c r="T116" s="1129"/>
      <c r="U116" s="1128"/>
      <c r="V116" s="1129"/>
      <c r="W116" s="1129"/>
    </row>
    <row r="117" spans="1:23" s="692" customFormat="1" ht="17.25" hidden="1" customHeight="1">
      <c r="A117" s="1124">
        <v>5</v>
      </c>
      <c r="B117" s="1125" t="s">
        <v>781</v>
      </c>
      <c r="C117" s="1126" t="s">
        <v>782</v>
      </c>
      <c r="D117" s="1127" t="s">
        <v>783</v>
      </c>
      <c r="E117" s="1124" t="s">
        <v>733</v>
      </c>
      <c r="F117" s="1124" t="s">
        <v>784</v>
      </c>
      <c r="G117" s="1125" t="s">
        <v>738</v>
      </c>
      <c r="H117" s="691">
        <f>H118+H119+H120+H121</f>
        <v>4764793</v>
      </c>
      <c r="I117" s="691">
        <f>I118+I119+I120+I121</f>
        <v>4544771</v>
      </c>
      <c r="J117" s="1128">
        <f>K117+N117</f>
        <v>220022</v>
      </c>
      <c r="K117" s="1128">
        <f>L117+M117</f>
        <v>220022</v>
      </c>
      <c r="L117" s="1129">
        <v>220022</v>
      </c>
      <c r="M117" s="1129">
        <v>0</v>
      </c>
      <c r="N117" s="1128">
        <f>O117+R117+U117</f>
        <v>0</v>
      </c>
      <c r="O117" s="1128">
        <f>P117+Q117</f>
        <v>0</v>
      </c>
      <c r="P117" s="1129">
        <v>0</v>
      </c>
      <c r="Q117" s="1129">
        <v>0</v>
      </c>
      <c r="R117" s="1128">
        <f>S117+T117</f>
        <v>0</v>
      </c>
      <c r="S117" s="1129">
        <v>0</v>
      </c>
      <c r="T117" s="1129">
        <v>0</v>
      </c>
      <c r="U117" s="1128">
        <f>V117+W117</f>
        <v>0</v>
      </c>
      <c r="V117" s="1129">
        <v>0</v>
      </c>
      <c r="W117" s="1129">
        <v>0</v>
      </c>
    </row>
    <row r="118" spans="1:23" s="692" customFormat="1" ht="17.25" hidden="1" customHeight="1">
      <c r="A118" s="1124"/>
      <c r="B118" s="1125"/>
      <c r="C118" s="1126"/>
      <c r="D118" s="1127"/>
      <c r="E118" s="1124"/>
      <c r="F118" s="1124"/>
      <c r="G118" s="1125"/>
      <c r="H118" s="691">
        <v>4735971</v>
      </c>
      <c r="I118" s="691">
        <v>4515949</v>
      </c>
      <c r="J118" s="1128"/>
      <c r="K118" s="1128"/>
      <c r="L118" s="1129"/>
      <c r="M118" s="1129"/>
      <c r="N118" s="1128"/>
      <c r="O118" s="1128"/>
      <c r="P118" s="1129"/>
      <c r="Q118" s="1129"/>
      <c r="R118" s="1128"/>
      <c r="S118" s="1129"/>
      <c r="T118" s="1129"/>
      <c r="U118" s="1128"/>
      <c r="V118" s="1129"/>
      <c r="W118" s="1129"/>
    </row>
    <row r="119" spans="1:23" s="692" customFormat="1" ht="17.25" hidden="1" customHeight="1">
      <c r="A119" s="1124"/>
      <c r="B119" s="1125"/>
      <c r="C119" s="1126"/>
      <c r="D119" s="1127"/>
      <c r="E119" s="1124"/>
      <c r="F119" s="1124"/>
      <c r="G119" s="1125"/>
      <c r="H119" s="691">
        <v>0</v>
      </c>
      <c r="I119" s="691">
        <v>0</v>
      </c>
      <c r="J119" s="693">
        <f>K119+N119</f>
        <v>0</v>
      </c>
      <c r="K119" s="693">
        <f>L119+M119</f>
        <v>0</v>
      </c>
      <c r="L119" s="694">
        <v>0</v>
      </c>
      <c r="M119" s="694">
        <v>0</v>
      </c>
      <c r="N119" s="693">
        <f>O119+R119+U119</f>
        <v>0</v>
      </c>
      <c r="O119" s="693">
        <f>P119+Q119</f>
        <v>0</v>
      </c>
      <c r="P119" s="694">
        <v>0</v>
      </c>
      <c r="Q119" s="694">
        <v>0</v>
      </c>
      <c r="R119" s="693">
        <f>S119+T119</f>
        <v>0</v>
      </c>
      <c r="S119" s="694">
        <v>0</v>
      </c>
      <c r="T119" s="694">
        <v>0</v>
      </c>
      <c r="U119" s="693">
        <f>V119+W119</f>
        <v>0</v>
      </c>
      <c r="V119" s="694">
        <v>0</v>
      </c>
      <c r="W119" s="694">
        <v>0</v>
      </c>
    </row>
    <row r="120" spans="1:23" s="692" customFormat="1" ht="17.25" hidden="1" customHeight="1">
      <c r="A120" s="1124"/>
      <c r="B120" s="1125"/>
      <c r="C120" s="1126"/>
      <c r="D120" s="1127"/>
      <c r="E120" s="1124"/>
      <c r="F120" s="1124"/>
      <c r="G120" s="1125"/>
      <c r="H120" s="691">
        <v>28822</v>
      </c>
      <c r="I120" s="691">
        <v>28822</v>
      </c>
      <c r="J120" s="1128">
        <f t="shared" ref="J120:W120" si="20">J117+J119</f>
        <v>220022</v>
      </c>
      <c r="K120" s="1128">
        <f t="shared" si="20"/>
        <v>220022</v>
      </c>
      <c r="L120" s="1129">
        <f t="shared" si="20"/>
        <v>220022</v>
      </c>
      <c r="M120" s="1129">
        <f t="shared" si="20"/>
        <v>0</v>
      </c>
      <c r="N120" s="1128">
        <f t="shared" si="20"/>
        <v>0</v>
      </c>
      <c r="O120" s="1128">
        <f t="shared" si="20"/>
        <v>0</v>
      </c>
      <c r="P120" s="1129">
        <f t="shared" si="20"/>
        <v>0</v>
      </c>
      <c r="Q120" s="1129">
        <f t="shared" si="20"/>
        <v>0</v>
      </c>
      <c r="R120" s="1128">
        <f t="shared" si="20"/>
        <v>0</v>
      </c>
      <c r="S120" s="1129">
        <f t="shared" si="20"/>
        <v>0</v>
      </c>
      <c r="T120" s="1129">
        <f t="shared" si="20"/>
        <v>0</v>
      </c>
      <c r="U120" s="1128">
        <f t="shared" si="20"/>
        <v>0</v>
      </c>
      <c r="V120" s="1129">
        <f t="shared" si="20"/>
        <v>0</v>
      </c>
      <c r="W120" s="1129">
        <f t="shared" si="20"/>
        <v>0</v>
      </c>
    </row>
    <row r="121" spans="1:23" s="692" customFormat="1" ht="17.25" hidden="1" customHeight="1">
      <c r="A121" s="1124"/>
      <c r="B121" s="1125"/>
      <c r="C121" s="1126"/>
      <c r="D121" s="1127"/>
      <c r="E121" s="1124"/>
      <c r="F121" s="1124"/>
      <c r="G121" s="1125"/>
      <c r="H121" s="691">
        <v>0</v>
      </c>
      <c r="I121" s="691">
        <v>0</v>
      </c>
      <c r="J121" s="1128"/>
      <c r="K121" s="1128"/>
      <c r="L121" s="1129"/>
      <c r="M121" s="1129"/>
      <c r="N121" s="1128"/>
      <c r="O121" s="1128"/>
      <c r="P121" s="1129"/>
      <c r="Q121" s="1129"/>
      <c r="R121" s="1128"/>
      <c r="S121" s="1129"/>
      <c r="T121" s="1129"/>
      <c r="U121" s="1128"/>
      <c r="V121" s="1129"/>
      <c r="W121" s="1129"/>
    </row>
    <row r="122" spans="1:23" s="692" customFormat="1" ht="17.25" customHeight="1">
      <c r="A122" s="1124">
        <v>2</v>
      </c>
      <c r="B122" s="1125" t="s">
        <v>781</v>
      </c>
      <c r="C122" s="1126" t="s">
        <v>782</v>
      </c>
      <c r="D122" s="1127" t="s">
        <v>785</v>
      </c>
      <c r="E122" s="1124" t="s">
        <v>733</v>
      </c>
      <c r="F122" s="1124" t="s">
        <v>784</v>
      </c>
      <c r="G122" s="1125" t="s">
        <v>758</v>
      </c>
      <c r="H122" s="691">
        <f>H123+H124+H125+H126</f>
        <v>5389685</v>
      </c>
      <c r="I122" s="691">
        <f>I123+I124+I125+I126</f>
        <v>4582681</v>
      </c>
      <c r="J122" s="1128">
        <f>K122+N122</f>
        <v>807004</v>
      </c>
      <c r="K122" s="1128">
        <f>L122+M122</f>
        <v>746958</v>
      </c>
      <c r="L122" s="1129">
        <v>746958</v>
      </c>
      <c r="M122" s="1129">
        <v>0</v>
      </c>
      <c r="N122" s="1128">
        <f>O122+R122+U122</f>
        <v>60046</v>
      </c>
      <c r="O122" s="1128">
        <f>P122+Q122</f>
        <v>0</v>
      </c>
      <c r="P122" s="1129">
        <v>0</v>
      </c>
      <c r="Q122" s="1129">
        <v>0</v>
      </c>
      <c r="R122" s="1128">
        <f>S122+T122</f>
        <v>60046</v>
      </c>
      <c r="S122" s="1129">
        <v>60046</v>
      </c>
      <c r="T122" s="1129">
        <v>0</v>
      </c>
      <c r="U122" s="1128">
        <f>V122+W122</f>
        <v>0</v>
      </c>
      <c r="V122" s="1129">
        <v>0</v>
      </c>
      <c r="W122" s="1129">
        <v>0</v>
      </c>
    </row>
    <row r="123" spans="1:23" s="692" customFormat="1" ht="17.25" customHeight="1">
      <c r="A123" s="1124"/>
      <c r="B123" s="1125"/>
      <c r="C123" s="1126"/>
      <c r="D123" s="1127"/>
      <c r="E123" s="1124"/>
      <c r="F123" s="1124"/>
      <c r="G123" s="1125"/>
      <c r="H123" s="691">
        <v>5318232</v>
      </c>
      <c r="I123" s="691">
        <v>4571274</v>
      </c>
      <c r="J123" s="1128"/>
      <c r="K123" s="1128"/>
      <c r="L123" s="1129"/>
      <c r="M123" s="1129"/>
      <c r="N123" s="1128"/>
      <c r="O123" s="1128"/>
      <c r="P123" s="1129"/>
      <c r="Q123" s="1129"/>
      <c r="R123" s="1128"/>
      <c r="S123" s="1129"/>
      <c r="T123" s="1129"/>
      <c r="U123" s="1128"/>
      <c r="V123" s="1129"/>
      <c r="W123" s="1129"/>
    </row>
    <row r="124" spans="1:23" s="692" customFormat="1" ht="17.25" customHeight="1">
      <c r="A124" s="1124"/>
      <c r="B124" s="1125"/>
      <c r="C124" s="1126"/>
      <c r="D124" s="1127"/>
      <c r="E124" s="1124"/>
      <c r="F124" s="1124"/>
      <c r="G124" s="1125"/>
      <c r="H124" s="691">
        <v>0</v>
      </c>
      <c r="I124" s="691">
        <v>0</v>
      </c>
      <c r="J124" s="693">
        <f>K124+N124</f>
        <v>-263140</v>
      </c>
      <c r="K124" s="693">
        <f>L124+M124</f>
        <v>-263140</v>
      </c>
      <c r="L124" s="694">
        <v>-263140</v>
      </c>
      <c r="M124" s="694">
        <v>0</v>
      </c>
      <c r="N124" s="693">
        <f>O124+R124+U124</f>
        <v>0</v>
      </c>
      <c r="O124" s="693">
        <f>P124+Q124</f>
        <v>0</v>
      </c>
      <c r="P124" s="694">
        <v>0</v>
      </c>
      <c r="Q124" s="694">
        <v>0</v>
      </c>
      <c r="R124" s="693">
        <f>S124+T124</f>
        <v>0</v>
      </c>
      <c r="S124" s="694">
        <v>0</v>
      </c>
      <c r="T124" s="694">
        <v>0</v>
      </c>
      <c r="U124" s="693">
        <f>V124+W124</f>
        <v>0</v>
      </c>
      <c r="V124" s="694">
        <v>0</v>
      </c>
      <c r="W124" s="694">
        <v>0</v>
      </c>
    </row>
    <row r="125" spans="1:23" s="692" customFormat="1" ht="17.25" customHeight="1">
      <c r="A125" s="1124"/>
      <c r="B125" s="1125"/>
      <c r="C125" s="1126"/>
      <c r="D125" s="1127"/>
      <c r="E125" s="1124"/>
      <c r="F125" s="1124"/>
      <c r="G125" s="1125"/>
      <c r="H125" s="691">
        <v>71453</v>
      </c>
      <c r="I125" s="691">
        <v>11407</v>
      </c>
      <c r="J125" s="1128">
        <f t="shared" ref="J125:W125" si="21">J122+J124</f>
        <v>543864</v>
      </c>
      <c r="K125" s="1128">
        <f t="shared" si="21"/>
        <v>483818</v>
      </c>
      <c r="L125" s="1129">
        <f t="shared" si="21"/>
        <v>483818</v>
      </c>
      <c r="M125" s="1129">
        <f t="shared" si="21"/>
        <v>0</v>
      </c>
      <c r="N125" s="1128">
        <f t="shared" si="21"/>
        <v>60046</v>
      </c>
      <c r="O125" s="1128">
        <f t="shared" si="21"/>
        <v>0</v>
      </c>
      <c r="P125" s="1129">
        <f t="shared" si="21"/>
        <v>0</v>
      </c>
      <c r="Q125" s="1129">
        <f t="shared" si="21"/>
        <v>0</v>
      </c>
      <c r="R125" s="1128">
        <f t="shared" si="21"/>
        <v>60046</v>
      </c>
      <c r="S125" s="1129">
        <f t="shared" si="21"/>
        <v>60046</v>
      </c>
      <c r="T125" s="1129">
        <f t="shared" si="21"/>
        <v>0</v>
      </c>
      <c r="U125" s="1128">
        <f t="shared" si="21"/>
        <v>0</v>
      </c>
      <c r="V125" s="1129">
        <f t="shared" si="21"/>
        <v>0</v>
      </c>
      <c r="W125" s="1129">
        <f t="shared" si="21"/>
        <v>0</v>
      </c>
    </row>
    <row r="126" spans="1:23" s="692" customFormat="1" ht="17.25" customHeight="1">
      <c r="A126" s="1124"/>
      <c r="B126" s="1125"/>
      <c r="C126" s="1126"/>
      <c r="D126" s="1127"/>
      <c r="E126" s="1124"/>
      <c r="F126" s="1124"/>
      <c r="G126" s="1125"/>
      <c r="H126" s="691">
        <v>0</v>
      </c>
      <c r="I126" s="691">
        <v>0</v>
      </c>
      <c r="J126" s="1128"/>
      <c r="K126" s="1128"/>
      <c r="L126" s="1129"/>
      <c r="M126" s="1129"/>
      <c r="N126" s="1128"/>
      <c r="O126" s="1128"/>
      <c r="P126" s="1129"/>
      <c r="Q126" s="1129"/>
      <c r="R126" s="1128"/>
      <c r="S126" s="1129"/>
      <c r="T126" s="1129"/>
      <c r="U126" s="1128"/>
      <c r="V126" s="1129"/>
      <c r="W126" s="1129"/>
    </row>
    <row r="127" spans="1:23" s="692" customFormat="1" ht="17.25" customHeight="1">
      <c r="A127" s="1124">
        <v>3</v>
      </c>
      <c r="B127" s="1125" t="s">
        <v>781</v>
      </c>
      <c r="C127" s="1126" t="s">
        <v>782</v>
      </c>
      <c r="D127" s="1127" t="s">
        <v>786</v>
      </c>
      <c r="E127" s="1124" t="s">
        <v>733</v>
      </c>
      <c r="F127" s="1124" t="s">
        <v>784</v>
      </c>
      <c r="G127" s="1125" t="s">
        <v>787</v>
      </c>
      <c r="H127" s="691">
        <f>H128+H129+H130+H131</f>
        <v>4255916</v>
      </c>
      <c r="I127" s="691">
        <f>I128+I129+I130+I131</f>
        <v>0</v>
      </c>
      <c r="J127" s="1128">
        <f>K127+N127</f>
        <v>3996974</v>
      </c>
      <c r="K127" s="1128">
        <f>L127+M127</f>
        <v>3978839</v>
      </c>
      <c r="L127" s="1129">
        <v>3978839</v>
      </c>
      <c r="M127" s="1129">
        <v>0</v>
      </c>
      <c r="N127" s="1128">
        <f>O127+R127+U127</f>
        <v>18135</v>
      </c>
      <c r="O127" s="1128">
        <f>P127+Q127</f>
        <v>0</v>
      </c>
      <c r="P127" s="1129">
        <v>0</v>
      </c>
      <c r="Q127" s="1129">
        <v>0</v>
      </c>
      <c r="R127" s="1128">
        <f>S127+T127</f>
        <v>18135</v>
      </c>
      <c r="S127" s="1129">
        <v>18135</v>
      </c>
      <c r="T127" s="1129">
        <v>0</v>
      </c>
      <c r="U127" s="1128">
        <f>V127+W127</f>
        <v>0</v>
      </c>
      <c r="V127" s="1129">
        <v>0</v>
      </c>
      <c r="W127" s="1129">
        <v>0</v>
      </c>
    </row>
    <row r="128" spans="1:23" s="692" customFormat="1" ht="17.25" customHeight="1">
      <c r="A128" s="1124"/>
      <c r="B128" s="1125"/>
      <c r="C128" s="1126"/>
      <c r="D128" s="1127"/>
      <c r="E128" s="1124"/>
      <c r="F128" s="1124"/>
      <c r="G128" s="1125"/>
      <c r="H128" s="691">
        <v>4198940</v>
      </c>
      <c r="I128" s="691">
        <v>0</v>
      </c>
      <c r="J128" s="1128"/>
      <c r="K128" s="1128"/>
      <c r="L128" s="1129"/>
      <c r="M128" s="1129"/>
      <c r="N128" s="1128"/>
      <c r="O128" s="1128"/>
      <c r="P128" s="1129"/>
      <c r="Q128" s="1129"/>
      <c r="R128" s="1128"/>
      <c r="S128" s="1129"/>
      <c r="T128" s="1129"/>
      <c r="U128" s="1128"/>
      <c r="V128" s="1129"/>
      <c r="W128" s="1129"/>
    </row>
    <row r="129" spans="1:23" s="692" customFormat="1" ht="17.25" customHeight="1">
      <c r="A129" s="1124"/>
      <c r="B129" s="1125"/>
      <c r="C129" s="1126"/>
      <c r="D129" s="1127"/>
      <c r="E129" s="1124"/>
      <c r="F129" s="1124"/>
      <c r="G129" s="1125"/>
      <c r="H129" s="691">
        <v>0</v>
      </c>
      <c r="I129" s="691">
        <v>0</v>
      </c>
      <c r="J129" s="693">
        <f>K129+N129</f>
        <v>-604389</v>
      </c>
      <c r="K129" s="693">
        <f>L129+M129</f>
        <v>-604389</v>
      </c>
      <c r="L129" s="694">
        <v>-604389</v>
      </c>
      <c r="M129" s="694">
        <v>0</v>
      </c>
      <c r="N129" s="693">
        <f>O129+R129+U129</f>
        <v>0</v>
      </c>
      <c r="O129" s="693">
        <f>P129+Q129</f>
        <v>0</v>
      </c>
      <c r="P129" s="694">
        <v>0</v>
      </c>
      <c r="Q129" s="694">
        <v>0</v>
      </c>
      <c r="R129" s="693">
        <f>S129+T129</f>
        <v>0</v>
      </c>
      <c r="S129" s="694">
        <v>0</v>
      </c>
      <c r="T129" s="694">
        <v>0</v>
      </c>
      <c r="U129" s="693">
        <f>V129+W129</f>
        <v>0</v>
      </c>
      <c r="V129" s="694">
        <v>0</v>
      </c>
      <c r="W129" s="694">
        <v>0</v>
      </c>
    </row>
    <row r="130" spans="1:23" s="692" customFormat="1" ht="17.25" customHeight="1">
      <c r="A130" s="1124"/>
      <c r="B130" s="1125"/>
      <c r="C130" s="1126"/>
      <c r="D130" s="1127"/>
      <c r="E130" s="1124"/>
      <c r="F130" s="1124"/>
      <c r="G130" s="1125"/>
      <c r="H130" s="691">
        <v>56976</v>
      </c>
      <c r="I130" s="691">
        <v>0</v>
      </c>
      <c r="J130" s="1128">
        <f t="shared" ref="J130:W130" si="22">J127+J129</f>
        <v>3392585</v>
      </c>
      <c r="K130" s="1128">
        <f t="shared" si="22"/>
        <v>3374450</v>
      </c>
      <c r="L130" s="1129">
        <f t="shared" si="22"/>
        <v>3374450</v>
      </c>
      <c r="M130" s="1129">
        <f t="shared" si="22"/>
        <v>0</v>
      </c>
      <c r="N130" s="1128">
        <f t="shared" si="22"/>
        <v>18135</v>
      </c>
      <c r="O130" s="1128">
        <f t="shared" si="22"/>
        <v>0</v>
      </c>
      <c r="P130" s="1129">
        <f t="shared" si="22"/>
        <v>0</v>
      </c>
      <c r="Q130" s="1129">
        <f t="shared" si="22"/>
        <v>0</v>
      </c>
      <c r="R130" s="1128">
        <f t="shared" si="22"/>
        <v>18135</v>
      </c>
      <c r="S130" s="1129">
        <f t="shared" si="22"/>
        <v>18135</v>
      </c>
      <c r="T130" s="1129">
        <f t="shared" si="22"/>
        <v>0</v>
      </c>
      <c r="U130" s="1128">
        <f t="shared" si="22"/>
        <v>0</v>
      </c>
      <c r="V130" s="1129">
        <f t="shared" si="22"/>
        <v>0</v>
      </c>
      <c r="W130" s="1129">
        <f t="shared" si="22"/>
        <v>0</v>
      </c>
    </row>
    <row r="131" spans="1:23" s="692" customFormat="1" ht="17.25" customHeight="1">
      <c r="A131" s="1124"/>
      <c r="B131" s="1125"/>
      <c r="C131" s="1126"/>
      <c r="D131" s="1127"/>
      <c r="E131" s="1124"/>
      <c r="F131" s="1124"/>
      <c r="G131" s="1125"/>
      <c r="H131" s="691">
        <v>0</v>
      </c>
      <c r="I131" s="691">
        <v>0</v>
      </c>
      <c r="J131" s="1128"/>
      <c r="K131" s="1128"/>
      <c r="L131" s="1129"/>
      <c r="M131" s="1129"/>
      <c r="N131" s="1128"/>
      <c r="O131" s="1128"/>
      <c r="P131" s="1129"/>
      <c r="Q131" s="1129"/>
      <c r="R131" s="1128"/>
      <c r="S131" s="1129"/>
      <c r="T131" s="1129"/>
      <c r="U131" s="1128"/>
      <c r="V131" s="1129"/>
      <c r="W131" s="1129"/>
    </row>
    <row r="132" spans="1:23" s="692" customFormat="1" ht="15.75" hidden="1" customHeight="1">
      <c r="A132" s="1124">
        <v>2</v>
      </c>
      <c r="B132" s="1125" t="s">
        <v>781</v>
      </c>
      <c r="C132" s="1126" t="s">
        <v>788</v>
      </c>
      <c r="D132" s="1127" t="s">
        <v>789</v>
      </c>
      <c r="E132" s="1124" t="s">
        <v>733</v>
      </c>
      <c r="F132" s="1124" t="s">
        <v>790</v>
      </c>
      <c r="G132" s="1125" t="s">
        <v>791</v>
      </c>
      <c r="H132" s="691">
        <f>H133+H134+H135+H136</f>
        <v>19343308</v>
      </c>
      <c r="I132" s="691">
        <f>I133+I134+I135+I136</f>
        <v>14008881</v>
      </c>
      <c r="J132" s="1128">
        <f>K132+N132</f>
        <v>5334427</v>
      </c>
      <c r="K132" s="1128">
        <f>L132+M132</f>
        <v>4434967</v>
      </c>
      <c r="L132" s="1129">
        <v>4434967</v>
      </c>
      <c r="M132" s="1129">
        <v>0</v>
      </c>
      <c r="N132" s="1128">
        <f>O132+R132+U132</f>
        <v>899460</v>
      </c>
      <c r="O132" s="1128">
        <f>P132+Q132</f>
        <v>730305</v>
      </c>
      <c r="P132" s="1129">
        <v>730305</v>
      </c>
      <c r="Q132" s="1129">
        <v>0</v>
      </c>
      <c r="R132" s="1128">
        <f>S132+T132</f>
        <v>169155</v>
      </c>
      <c r="S132" s="1129">
        <v>169155</v>
      </c>
      <c r="T132" s="1129">
        <v>0</v>
      </c>
      <c r="U132" s="1128">
        <f>V132+W132</f>
        <v>0</v>
      </c>
      <c r="V132" s="1129">
        <v>0</v>
      </c>
      <c r="W132" s="1129">
        <v>0</v>
      </c>
    </row>
    <row r="133" spans="1:23" s="692" customFormat="1" ht="15.75" hidden="1" customHeight="1">
      <c r="A133" s="1124"/>
      <c r="B133" s="1125"/>
      <c r="C133" s="1126"/>
      <c r="D133" s="1127"/>
      <c r="E133" s="1124"/>
      <c r="F133" s="1124"/>
      <c r="G133" s="1125"/>
      <c r="H133" s="691">
        <v>16221971</v>
      </c>
      <c r="I133" s="691">
        <v>11787004</v>
      </c>
      <c r="J133" s="1128"/>
      <c r="K133" s="1128"/>
      <c r="L133" s="1129"/>
      <c r="M133" s="1129"/>
      <c r="N133" s="1128"/>
      <c r="O133" s="1128"/>
      <c r="P133" s="1129"/>
      <c r="Q133" s="1129"/>
      <c r="R133" s="1128"/>
      <c r="S133" s="1129"/>
      <c r="T133" s="1129"/>
      <c r="U133" s="1128"/>
      <c r="V133" s="1129"/>
      <c r="W133" s="1129"/>
    </row>
    <row r="134" spans="1:23" s="692" customFormat="1" ht="15.75" hidden="1" customHeight="1">
      <c r="A134" s="1124"/>
      <c r="B134" s="1125"/>
      <c r="C134" s="1126"/>
      <c r="D134" s="1127"/>
      <c r="E134" s="1124"/>
      <c r="F134" s="1124"/>
      <c r="G134" s="1125"/>
      <c r="H134" s="691">
        <v>2725631</v>
      </c>
      <c r="I134" s="691">
        <v>1995326</v>
      </c>
      <c r="J134" s="693">
        <f>K134+N134</f>
        <v>0</v>
      </c>
      <c r="K134" s="693">
        <f>L134+M134</f>
        <v>0</v>
      </c>
      <c r="L134" s="694">
        <v>0</v>
      </c>
      <c r="M134" s="694">
        <v>0</v>
      </c>
      <c r="N134" s="693">
        <f>O134+R134+U134</f>
        <v>0</v>
      </c>
      <c r="O134" s="693">
        <f>P134+Q134</f>
        <v>0</v>
      </c>
      <c r="P134" s="694">
        <v>0</v>
      </c>
      <c r="Q134" s="694">
        <v>0</v>
      </c>
      <c r="R134" s="693">
        <f>S134+T134</f>
        <v>0</v>
      </c>
      <c r="S134" s="694">
        <v>0</v>
      </c>
      <c r="T134" s="694">
        <v>0</v>
      </c>
      <c r="U134" s="693">
        <f>V134+W134</f>
        <v>0</v>
      </c>
      <c r="V134" s="694">
        <v>0</v>
      </c>
      <c r="W134" s="694">
        <v>0</v>
      </c>
    </row>
    <row r="135" spans="1:23" s="692" customFormat="1" ht="15.75" hidden="1" customHeight="1">
      <c r="A135" s="1124"/>
      <c r="B135" s="1125"/>
      <c r="C135" s="1126"/>
      <c r="D135" s="1127"/>
      <c r="E135" s="1124"/>
      <c r="F135" s="1124"/>
      <c r="G135" s="1125"/>
      <c r="H135" s="691">
        <v>395706</v>
      </c>
      <c r="I135" s="691">
        <v>226551</v>
      </c>
      <c r="J135" s="1128">
        <f t="shared" ref="J135:W135" si="23">J132+J134</f>
        <v>5334427</v>
      </c>
      <c r="K135" s="1128">
        <f t="shared" si="23"/>
        <v>4434967</v>
      </c>
      <c r="L135" s="1129">
        <f t="shared" si="23"/>
        <v>4434967</v>
      </c>
      <c r="M135" s="1129">
        <f t="shared" si="23"/>
        <v>0</v>
      </c>
      <c r="N135" s="1128">
        <f t="shared" si="23"/>
        <v>899460</v>
      </c>
      <c r="O135" s="1128">
        <f t="shared" si="23"/>
        <v>730305</v>
      </c>
      <c r="P135" s="1129">
        <f t="shared" si="23"/>
        <v>730305</v>
      </c>
      <c r="Q135" s="1129">
        <f t="shared" si="23"/>
        <v>0</v>
      </c>
      <c r="R135" s="1128">
        <f t="shared" si="23"/>
        <v>169155</v>
      </c>
      <c r="S135" s="1129">
        <f t="shared" si="23"/>
        <v>169155</v>
      </c>
      <c r="T135" s="1129">
        <f t="shared" si="23"/>
        <v>0</v>
      </c>
      <c r="U135" s="1128">
        <f t="shared" si="23"/>
        <v>0</v>
      </c>
      <c r="V135" s="1129">
        <f t="shared" si="23"/>
        <v>0</v>
      </c>
      <c r="W135" s="1129">
        <f t="shared" si="23"/>
        <v>0</v>
      </c>
    </row>
    <row r="136" spans="1:23" s="692" customFormat="1" ht="15.75" hidden="1" customHeight="1">
      <c r="A136" s="1124"/>
      <c r="B136" s="1125"/>
      <c r="C136" s="1126"/>
      <c r="D136" s="1127"/>
      <c r="E136" s="1124"/>
      <c r="F136" s="1124"/>
      <c r="G136" s="1125"/>
      <c r="H136" s="691">
        <v>0</v>
      </c>
      <c r="I136" s="691">
        <v>0</v>
      </c>
      <c r="J136" s="1128"/>
      <c r="K136" s="1128"/>
      <c r="L136" s="1129"/>
      <c r="M136" s="1129"/>
      <c r="N136" s="1128"/>
      <c r="O136" s="1128"/>
      <c r="P136" s="1129"/>
      <c r="Q136" s="1129"/>
      <c r="R136" s="1128"/>
      <c r="S136" s="1129"/>
      <c r="T136" s="1129"/>
      <c r="U136" s="1128"/>
      <c r="V136" s="1129"/>
      <c r="W136" s="1129"/>
    </row>
    <row r="137" spans="1:23" s="692" customFormat="1" ht="15.75" customHeight="1">
      <c r="A137" s="1124">
        <v>4</v>
      </c>
      <c r="B137" s="1126" t="s">
        <v>781</v>
      </c>
      <c r="C137" s="1126" t="s">
        <v>788</v>
      </c>
      <c r="D137" s="1127" t="s">
        <v>792</v>
      </c>
      <c r="E137" s="1124" t="s">
        <v>733</v>
      </c>
      <c r="F137" s="1124" t="s">
        <v>790</v>
      </c>
      <c r="G137" s="1125" t="s">
        <v>787</v>
      </c>
      <c r="H137" s="691">
        <f>H138+H139+H140+H141</f>
        <v>5767164</v>
      </c>
      <c r="I137" s="691">
        <f>I138+I139+I140+I141</f>
        <v>0</v>
      </c>
      <c r="J137" s="1128">
        <f>K137+N137</f>
        <v>5767164</v>
      </c>
      <c r="K137" s="1128">
        <f>L137+M137</f>
        <v>4835174</v>
      </c>
      <c r="L137" s="1129">
        <v>4835174</v>
      </c>
      <c r="M137" s="1129">
        <v>0</v>
      </c>
      <c r="N137" s="1128">
        <f>O137+R137+U137</f>
        <v>931990</v>
      </c>
      <c r="O137" s="1128">
        <f>P137+Q137</f>
        <v>812009</v>
      </c>
      <c r="P137" s="1129">
        <v>812009</v>
      </c>
      <c r="Q137" s="1129">
        <v>0</v>
      </c>
      <c r="R137" s="1128">
        <f>S137+T137</f>
        <v>119981</v>
      </c>
      <c r="S137" s="1129">
        <v>119981</v>
      </c>
      <c r="T137" s="1129">
        <v>0</v>
      </c>
      <c r="U137" s="1128">
        <f>V137+W137</f>
        <v>0</v>
      </c>
      <c r="V137" s="1129">
        <v>0</v>
      </c>
      <c r="W137" s="1129">
        <v>0</v>
      </c>
    </row>
    <row r="138" spans="1:23" s="692" customFormat="1" ht="15.75" customHeight="1">
      <c r="A138" s="1124"/>
      <c r="B138" s="1126"/>
      <c r="C138" s="1126"/>
      <c r="D138" s="1127"/>
      <c r="E138" s="1124"/>
      <c r="F138" s="1124"/>
      <c r="G138" s="1125"/>
      <c r="H138" s="691">
        <v>4835174</v>
      </c>
      <c r="I138" s="691">
        <v>0</v>
      </c>
      <c r="J138" s="1128"/>
      <c r="K138" s="1128"/>
      <c r="L138" s="1129"/>
      <c r="M138" s="1129"/>
      <c r="N138" s="1128"/>
      <c r="O138" s="1128"/>
      <c r="P138" s="1129"/>
      <c r="Q138" s="1129"/>
      <c r="R138" s="1128"/>
      <c r="S138" s="1129"/>
      <c r="T138" s="1129"/>
      <c r="U138" s="1128"/>
      <c r="V138" s="1129"/>
      <c r="W138" s="1129"/>
    </row>
    <row r="139" spans="1:23" s="692" customFormat="1" ht="15.75" customHeight="1">
      <c r="A139" s="1124"/>
      <c r="B139" s="1126"/>
      <c r="C139" s="1126"/>
      <c r="D139" s="1127"/>
      <c r="E139" s="1124"/>
      <c r="F139" s="1124"/>
      <c r="G139" s="1125"/>
      <c r="H139" s="691">
        <v>812009</v>
      </c>
      <c r="I139" s="691">
        <v>0</v>
      </c>
      <c r="J139" s="693">
        <f>K139+N139</f>
        <v>-470648</v>
      </c>
      <c r="K139" s="693">
        <f>L139+M139</f>
        <v>-402438</v>
      </c>
      <c r="L139" s="694">
        <v>-402438</v>
      </c>
      <c r="M139" s="694">
        <v>0</v>
      </c>
      <c r="N139" s="693">
        <f>O139+R139+U139</f>
        <v>-68210</v>
      </c>
      <c r="O139" s="693">
        <f>P139+Q139</f>
        <v>-68210</v>
      </c>
      <c r="P139" s="694">
        <v>-68210</v>
      </c>
      <c r="Q139" s="694">
        <v>0</v>
      </c>
      <c r="R139" s="693">
        <f>S139+T139</f>
        <v>0</v>
      </c>
      <c r="S139" s="694">
        <v>0</v>
      </c>
      <c r="T139" s="694">
        <v>0</v>
      </c>
      <c r="U139" s="693">
        <f>V139+W139</f>
        <v>0</v>
      </c>
      <c r="V139" s="694">
        <v>0</v>
      </c>
      <c r="W139" s="694">
        <v>0</v>
      </c>
    </row>
    <row r="140" spans="1:23" s="692" customFormat="1" ht="15.75" customHeight="1">
      <c r="A140" s="1124"/>
      <c r="B140" s="1126"/>
      <c r="C140" s="1126"/>
      <c r="D140" s="1127"/>
      <c r="E140" s="1124"/>
      <c r="F140" s="1124"/>
      <c r="G140" s="1125"/>
      <c r="H140" s="691">
        <v>119981</v>
      </c>
      <c r="I140" s="691">
        <v>0</v>
      </c>
      <c r="J140" s="1128">
        <f t="shared" ref="J140:W140" si="24">J137+J139</f>
        <v>5296516</v>
      </c>
      <c r="K140" s="1128">
        <f t="shared" si="24"/>
        <v>4432736</v>
      </c>
      <c r="L140" s="1129">
        <f t="shared" si="24"/>
        <v>4432736</v>
      </c>
      <c r="M140" s="1129">
        <f t="shared" si="24"/>
        <v>0</v>
      </c>
      <c r="N140" s="1128">
        <f t="shared" si="24"/>
        <v>863780</v>
      </c>
      <c r="O140" s="1128">
        <f t="shared" si="24"/>
        <v>743799</v>
      </c>
      <c r="P140" s="1129">
        <f t="shared" si="24"/>
        <v>743799</v>
      </c>
      <c r="Q140" s="1129">
        <f t="shared" si="24"/>
        <v>0</v>
      </c>
      <c r="R140" s="1128">
        <f t="shared" si="24"/>
        <v>119981</v>
      </c>
      <c r="S140" s="1129">
        <f t="shared" si="24"/>
        <v>119981</v>
      </c>
      <c r="T140" s="1129">
        <f t="shared" si="24"/>
        <v>0</v>
      </c>
      <c r="U140" s="1128">
        <f t="shared" si="24"/>
        <v>0</v>
      </c>
      <c r="V140" s="1129">
        <f t="shared" si="24"/>
        <v>0</v>
      </c>
      <c r="W140" s="1129">
        <f t="shared" si="24"/>
        <v>0</v>
      </c>
    </row>
    <row r="141" spans="1:23" s="692" customFormat="1" ht="15.75" customHeight="1">
      <c r="A141" s="1124"/>
      <c r="B141" s="1126"/>
      <c r="C141" s="1126"/>
      <c r="D141" s="1127"/>
      <c r="E141" s="1124"/>
      <c r="F141" s="1124"/>
      <c r="G141" s="1125"/>
      <c r="H141" s="691">
        <v>0</v>
      </c>
      <c r="I141" s="691">
        <v>0</v>
      </c>
      <c r="J141" s="1128"/>
      <c r="K141" s="1128"/>
      <c r="L141" s="1129"/>
      <c r="M141" s="1129"/>
      <c r="N141" s="1128"/>
      <c r="O141" s="1128"/>
      <c r="P141" s="1129"/>
      <c r="Q141" s="1129"/>
      <c r="R141" s="1128"/>
      <c r="S141" s="1129"/>
      <c r="T141" s="1129"/>
      <c r="U141" s="1128"/>
      <c r="V141" s="1129"/>
      <c r="W141" s="1129"/>
    </row>
    <row r="142" spans="1:23" s="692" customFormat="1" ht="15.75" hidden="1" customHeight="1">
      <c r="A142" s="1124">
        <v>19</v>
      </c>
      <c r="B142" s="1125" t="s">
        <v>793</v>
      </c>
      <c r="C142" s="1126" t="s">
        <v>794</v>
      </c>
      <c r="D142" s="1127" t="s">
        <v>795</v>
      </c>
      <c r="E142" s="1124" t="s">
        <v>796</v>
      </c>
      <c r="F142" s="1124" t="s">
        <v>797</v>
      </c>
      <c r="G142" s="1125" t="s">
        <v>772</v>
      </c>
      <c r="H142" s="691">
        <f>H143+H144+H145+H146</f>
        <v>1392787</v>
      </c>
      <c r="I142" s="691">
        <f>I143+I144+I145+I146</f>
        <v>1320880</v>
      </c>
      <c r="J142" s="1128">
        <f>K142+N142</f>
        <v>71907</v>
      </c>
      <c r="K142" s="1128">
        <f>L142+M142</f>
        <v>32190</v>
      </c>
      <c r="L142" s="1129">
        <v>32190</v>
      </c>
      <c r="M142" s="1129">
        <v>0</v>
      </c>
      <c r="N142" s="1128">
        <f>O142+R142+U142</f>
        <v>39717</v>
      </c>
      <c r="O142" s="1128">
        <f>P142+Q142</f>
        <v>0</v>
      </c>
      <c r="P142" s="1129">
        <v>0</v>
      </c>
      <c r="Q142" s="1129">
        <v>0</v>
      </c>
      <c r="R142" s="1128">
        <f>S142+T142</f>
        <v>39717</v>
      </c>
      <c r="S142" s="1129">
        <v>39717</v>
      </c>
      <c r="T142" s="1129">
        <v>0</v>
      </c>
      <c r="U142" s="1128">
        <f>V142+W142</f>
        <v>0</v>
      </c>
      <c r="V142" s="1129">
        <v>0</v>
      </c>
      <c r="W142" s="1129">
        <v>0</v>
      </c>
    </row>
    <row r="143" spans="1:23" s="692" customFormat="1" ht="15.75" hidden="1" customHeight="1">
      <c r="A143" s="1124"/>
      <c r="B143" s="1125"/>
      <c r="C143" s="1126"/>
      <c r="D143" s="1127"/>
      <c r="E143" s="1124"/>
      <c r="F143" s="1124"/>
      <c r="G143" s="1125"/>
      <c r="H143" s="691">
        <v>621967</v>
      </c>
      <c r="I143" s="691">
        <v>589777</v>
      </c>
      <c r="J143" s="1128"/>
      <c r="K143" s="1128"/>
      <c r="L143" s="1129"/>
      <c r="M143" s="1129"/>
      <c r="N143" s="1128"/>
      <c r="O143" s="1128"/>
      <c r="P143" s="1129"/>
      <c r="Q143" s="1129"/>
      <c r="R143" s="1128"/>
      <c r="S143" s="1129"/>
      <c r="T143" s="1129"/>
      <c r="U143" s="1128"/>
      <c r="V143" s="1129"/>
      <c r="W143" s="1129"/>
    </row>
    <row r="144" spans="1:23" s="692" customFormat="1" ht="15.75" hidden="1" customHeight="1">
      <c r="A144" s="1124"/>
      <c r="B144" s="1125"/>
      <c r="C144" s="1126"/>
      <c r="D144" s="1127"/>
      <c r="E144" s="1124"/>
      <c r="F144" s="1124"/>
      <c r="G144" s="1125"/>
      <c r="H144" s="691">
        <v>0</v>
      </c>
      <c r="I144" s="691">
        <v>0</v>
      </c>
      <c r="J144" s="693">
        <f>K144+N144</f>
        <v>0</v>
      </c>
      <c r="K144" s="693">
        <f>L144+M144</f>
        <v>0</v>
      </c>
      <c r="L144" s="694">
        <v>0</v>
      </c>
      <c r="M144" s="694">
        <v>0</v>
      </c>
      <c r="N144" s="693">
        <f>O144+R144+U144</f>
        <v>0</v>
      </c>
      <c r="O144" s="693">
        <f>P144+Q144</f>
        <v>0</v>
      </c>
      <c r="P144" s="694">
        <v>0</v>
      </c>
      <c r="Q144" s="694">
        <v>0</v>
      </c>
      <c r="R144" s="693">
        <f>S144+T144</f>
        <v>0</v>
      </c>
      <c r="S144" s="694">
        <v>0</v>
      </c>
      <c r="T144" s="694">
        <v>0</v>
      </c>
      <c r="U144" s="693">
        <f>V144+W144</f>
        <v>0</v>
      </c>
      <c r="V144" s="694">
        <v>0</v>
      </c>
      <c r="W144" s="694">
        <v>0</v>
      </c>
    </row>
    <row r="145" spans="1:23" s="692" customFormat="1" ht="15.75" hidden="1" customHeight="1">
      <c r="A145" s="1124"/>
      <c r="B145" s="1125"/>
      <c r="C145" s="1126"/>
      <c r="D145" s="1127"/>
      <c r="E145" s="1124"/>
      <c r="F145" s="1124"/>
      <c r="G145" s="1125"/>
      <c r="H145" s="691">
        <v>620820</v>
      </c>
      <c r="I145" s="691">
        <v>581103</v>
      </c>
      <c r="J145" s="1128">
        <f t="shared" ref="J145:W145" si="25">J142+J144</f>
        <v>71907</v>
      </c>
      <c r="K145" s="1128">
        <f t="shared" si="25"/>
        <v>32190</v>
      </c>
      <c r="L145" s="1129">
        <f t="shared" si="25"/>
        <v>32190</v>
      </c>
      <c r="M145" s="1129">
        <f t="shared" si="25"/>
        <v>0</v>
      </c>
      <c r="N145" s="1128">
        <f t="shared" si="25"/>
        <v>39717</v>
      </c>
      <c r="O145" s="1128">
        <f t="shared" si="25"/>
        <v>0</v>
      </c>
      <c r="P145" s="1129">
        <f t="shared" si="25"/>
        <v>0</v>
      </c>
      <c r="Q145" s="1129">
        <f t="shared" si="25"/>
        <v>0</v>
      </c>
      <c r="R145" s="1128">
        <f t="shared" si="25"/>
        <v>39717</v>
      </c>
      <c r="S145" s="1129">
        <f t="shared" si="25"/>
        <v>39717</v>
      </c>
      <c r="T145" s="1129">
        <f t="shared" si="25"/>
        <v>0</v>
      </c>
      <c r="U145" s="1128">
        <f t="shared" si="25"/>
        <v>0</v>
      </c>
      <c r="V145" s="1129">
        <f t="shared" si="25"/>
        <v>0</v>
      </c>
      <c r="W145" s="1129">
        <f t="shared" si="25"/>
        <v>0</v>
      </c>
    </row>
    <row r="146" spans="1:23" s="692" customFormat="1" ht="15.75" hidden="1" customHeight="1">
      <c r="A146" s="1124"/>
      <c r="B146" s="1125"/>
      <c r="C146" s="1126"/>
      <c r="D146" s="1127"/>
      <c r="E146" s="1124"/>
      <c r="F146" s="1124"/>
      <c r="G146" s="1125"/>
      <c r="H146" s="691">
        <v>150000</v>
      </c>
      <c r="I146" s="691">
        <v>150000</v>
      </c>
      <c r="J146" s="1128"/>
      <c r="K146" s="1128"/>
      <c r="L146" s="1129"/>
      <c r="M146" s="1129"/>
      <c r="N146" s="1128"/>
      <c r="O146" s="1128"/>
      <c r="P146" s="1129"/>
      <c r="Q146" s="1129"/>
      <c r="R146" s="1128"/>
      <c r="S146" s="1129"/>
      <c r="T146" s="1129"/>
      <c r="U146" s="1128"/>
      <c r="V146" s="1129"/>
      <c r="W146" s="1129"/>
    </row>
    <row r="147" spans="1:23" s="692" customFormat="1" ht="16.5" hidden="1" customHeight="1">
      <c r="A147" s="1124">
        <v>11</v>
      </c>
      <c r="B147" s="1125" t="s">
        <v>793</v>
      </c>
      <c r="C147" s="1126" t="s">
        <v>794</v>
      </c>
      <c r="D147" s="1127" t="s">
        <v>798</v>
      </c>
      <c r="E147" s="1124" t="s">
        <v>799</v>
      </c>
      <c r="F147" s="1124" t="s">
        <v>797</v>
      </c>
      <c r="G147" s="1125" t="s">
        <v>772</v>
      </c>
      <c r="H147" s="691">
        <f>H148+H149+H150+H151</f>
        <v>3321350</v>
      </c>
      <c r="I147" s="691">
        <f>I148+I149+I150+I151</f>
        <v>89778</v>
      </c>
      <c r="J147" s="1128">
        <f>K147+N147</f>
        <v>3231572</v>
      </c>
      <c r="K147" s="1128">
        <f>L147+M147</f>
        <v>1541352</v>
      </c>
      <c r="L147" s="1129">
        <v>19584</v>
      </c>
      <c r="M147" s="1129">
        <v>1521768</v>
      </c>
      <c r="N147" s="1128">
        <f>O147+R147+U147</f>
        <v>1690220</v>
      </c>
      <c r="O147" s="1128">
        <f>P147+Q147</f>
        <v>0</v>
      </c>
      <c r="P147" s="1129">
        <v>0</v>
      </c>
      <c r="Q147" s="1129">
        <v>0</v>
      </c>
      <c r="R147" s="1128">
        <f>S147+T147</f>
        <v>1209262</v>
      </c>
      <c r="S147" s="1129">
        <v>20416</v>
      </c>
      <c r="T147" s="1129">
        <v>1188846</v>
      </c>
      <c r="U147" s="1128">
        <f>V147+W147</f>
        <v>480958</v>
      </c>
      <c r="V147" s="1129">
        <v>0</v>
      </c>
      <c r="W147" s="1129">
        <v>480958</v>
      </c>
    </row>
    <row r="148" spans="1:23" s="692" customFormat="1" ht="16.5" hidden="1" customHeight="1">
      <c r="A148" s="1124"/>
      <c r="B148" s="1125"/>
      <c r="C148" s="1126"/>
      <c r="D148" s="1127"/>
      <c r="E148" s="1124"/>
      <c r="F148" s="1124"/>
      <c r="G148" s="1125"/>
      <c r="H148" s="691">
        <v>1585307</v>
      </c>
      <c r="I148" s="691">
        <v>43955</v>
      </c>
      <c r="J148" s="1128"/>
      <c r="K148" s="1128"/>
      <c r="L148" s="1129"/>
      <c r="M148" s="1129"/>
      <c r="N148" s="1128"/>
      <c r="O148" s="1128"/>
      <c r="P148" s="1129"/>
      <c r="Q148" s="1129"/>
      <c r="R148" s="1128"/>
      <c r="S148" s="1129"/>
      <c r="T148" s="1129"/>
      <c r="U148" s="1128"/>
      <c r="V148" s="1129"/>
      <c r="W148" s="1129"/>
    </row>
    <row r="149" spans="1:23" s="692" customFormat="1" ht="16.5" hidden="1" customHeight="1">
      <c r="A149" s="1124"/>
      <c r="B149" s="1125"/>
      <c r="C149" s="1126"/>
      <c r="D149" s="1127"/>
      <c r="E149" s="1124"/>
      <c r="F149" s="1124"/>
      <c r="G149" s="1125"/>
      <c r="H149" s="691">
        <v>0</v>
      </c>
      <c r="I149" s="691">
        <v>0</v>
      </c>
      <c r="J149" s="693">
        <f>K149+N149</f>
        <v>0</v>
      </c>
      <c r="K149" s="693">
        <f>L149+M149</f>
        <v>0</v>
      </c>
      <c r="L149" s="694">
        <v>0</v>
      </c>
      <c r="M149" s="694">
        <v>0</v>
      </c>
      <c r="N149" s="693">
        <f>O149+R149+U149</f>
        <v>0</v>
      </c>
      <c r="O149" s="693">
        <f>P149+Q149</f>
        <v>0</v>
      </c>
      <c r="P149" s="694">
        <v>0</v>
      </c>
      <c r="Q149" s="694">
        <v>0</v>
      </c>
      <c r="R149" s="693">
        <f>S149+T149</f>
        <v>0</v>
      </c>
      <c r="S149" s="694">
        <v>0</v>
      </c>
      <c r="T149" s="694">
        <v>0</v>
      </c>
      <c r="U149" s="693">
        <f>V149+W149</f>
        <v>0</v>
      </c>
      <c r="V149" s="694">
        <v>0</v>
      </c>
      <c r="W149" s="694">
        <v>0</v>
      </c>
    </row>
    <row r="150" spans="1:23" s="692" customFormat="1" ht="16.5" hidden="1" customHeight="1">
      <c r="A150" s="1124"/>
      <c r="B150" s="1125"/>
      <c r="C150" s="1126"/>
      <c r="D150" s="1127"/>
      <c r="E150" s="1124"/>
      <c r="F150" s="1124"/>
      <c r="G150" s="1125"/>
      <c r="H150" s="691">
        <v>1255085</v>
      </c>
      <c r="I150" s="691">
        <v>45823</v>
      </c>
      <c r="J150" s="1128">
        <f t="shared" ref="J150:W150" si="26">J147+J149</f>
        <v>3231572</v>
      </c>
      <c r="K150" s="1128">
        <f t="shared" si="26"/>
        <v>1541352</v>
      </c>
      <c r="L150" s="1129">
        <f t="shared" si="26"/>
        <v>19584</v>
      </c>
      <c r="M150" s="1129">
        <f t="shared" si="26"/>
        <v>1521768</v>
      </c>
      <c r="N150" s="1128">
        <f t="shared" si="26"/>
        <v>1690220</v>
      </c>
      <c r="O150" s="1128">
        <f t="shared" si="26"/>
        <v>0</v>
      </c>
      <c r="P150" s="1129">
        <f t="shared" si="26"/>
        <v>0</v>
      </c>
      <c r="Q150" s="1129">
        <f t="shared" si="26"/>
        <v>0</v>
      </c>
      <c r="R150" s="1128">
        <f t="shared" si="26"/>
        <v>1209262</v>
      </c>
      <c r="S150" s="1129">
        <f t="shared" si="26"/>
        <v>20416</v>
      </c>
      <c r="T150" s="1129">
        <f t="shared" si="26"/>
        <v>1188846</v>
      </c>
      <c r="U150" s="1128">
        <f t="shared" si="26"/>
        <v>480958</v>
      </c>
      <c r="V150" s="1129">
        <f t="shared" si="26"/>
        <v>0</v>
      </c>
      <c r="W150" s="1129">
        <f t="shared" si="26"/>
        <v>480958</v>
      </c>
    </row>
    <row r="151" spans="1:23" s="692" customFormat="1" ht="16.5" hidden="1" customHeight="1">
      <c r="A151" s="1124"/>
      <c r="B151" s="1125"/>
      <c r="C151" s="1126"/>
      <c r="D151" s="1127"/>
      <c r="E151" s="1124"/>
      <c r="F151" s="1124"/>
      <c r="G151" s="1125"/>
      <c r="H151" s="691">
        <v>480958</v>
      </c>
      <c r="I151" s="691">
        <v>0</v>
      </c>
      <c r="J151" s="1128"/>
      <c r="K151" s="1128"/>
      <c r="L151" s="1129"/>
      <c r="M151" s="1129"/>
      <c r="N151" s="1128"/>
      <c r="O151" s="1128"/>
      <c r="P151" s="1129"/>
      <c r="Q151" s="1129"/>
      <c r="R151" s="1128"/>
      <c r="S151" s="1129"/>
      <c r="T151" s="1129"/>
      <c r="U151" s="1128"/>
      <c r="V151" s="1129"/>
      <c r="W151" s="1129"/>
    </row>
    <row r="152" spans="1:23" s="692" customFormat="1" ht="15.75" hidden="1" customHeight="1">
      <c r="A152" s="1124">
        <v>21</v>
      </c>
      <c r="B152" s="1125" t="s">
        <v>793</v>
      </c>
      <c r="C152" s="1126" t="s">
        <v>794</v>
      </c>
      <c r="D152" s="1127" t="s">
        <v>800</v>
      </c>
      <c r="E152" s="1124" t="s">
        <v>801</v>
      </c>
      <c r="F152" s="1124" t="s">
        <v>797</v>
      </c>
      <c r="G152" s="1125" t="s">
        <v>772</v>
      </c>
      <c r="H152" s="691">
        <f>H153+H154+H155+H156</f>
        <v>1290988</v>
      </c>
      <c r="I152" s="691">
        <f>I153+I154+I155+I156</f>
        <v>949092</v>
      </c>
      <c r="J152" s="1128">
        <f>K152+N152</f>
        <v>341896</v>
      </c>
      <c r="K152" s="1128">
        <f>L152+M152</f>
        <v>290611</v>
      </c>
      <c r="L152" s="1129">
        <v>20881</v>
      </c>
      <c r="M152" s="1129">
        <v>269730</v>
      </c>
      <c r="N152" s="1128">
        <f>O152+R152+U152</f>
        <v>51285</v>
      </c>
      <c r="O152" s="1128">
        <f>P152+Q152</f>
        <v>0</v>
      </c>
      <c r="P152" s="1129">
        <v>0</v>
      </c>
      <c r="Q152" s="1129">
        <v>0</v>
      </c>
      <c r="R152" s="1128">
        <f>S152+T152</f>
        <v>51285</v>
      </c>
      <c r="S152" s="1129">
        <v>3685</v>
      </c>
      <c r="T152" s="1129">
        <v>47600</v>
      </c>
      <c r="U152" s="1128">
        <f>V152+W152</f>
        <v>0</v>
      </c>
      <c r="V152" s="1129">
        <v>0</v>
      </c>
      <c r="W152" s="1129">
        <v>0</v>
      </c>
    </row>
    <row r="153" spans="1:23" s="692" customFormat="1" ht="15.75" hidden="1" customHeight="1">
      <c r="A153" s="1124"/>
      <c r="B153" s="1125"/>
      <c r="C153" s="1126"/>
      <c r="D153" s="1127"/>
      <c r="E153" s="1124"/>
      <c r="F153" s="1124"/>
      <c r="G153" s="1125"/>
      <c r="H153" s="691">
        <v>1059368</v>
      </c>
      <c r="I153" s="691">
        <v>768757</v>
      </c>
      <c r="J153" s="1128"/>
      <c r="K153" s="1128"/>
      <c r="L153" s="1129"/>
      <c r="M153" s="1129"/>
      <c r="N153" s="1128"/>
      <c r="O153" s="1128"/>
      <c r="P153" s="1129"/>
      <c r="Q153" s="1129"/>
      <c r="R153" s="1128"/>
      <c r="S153" s="1129"/>
      <c r="T153" s="1129"/>
      <c r="U153" s="1128"/>
      <c r="V153" s="1129"/>
      <c r="W153" s="1129"/>
    </row>
    <row r="154" spans="1:23" s="692" customFormat="1" ht="15.75" hidden="1" customHeight="1">
      <c r="A154" s="1124"/>
      <c r="B154" s="1125"/>
      <c r="C154" s="1126"/>
      <c r="D154" s="1127"/>
      <c r="E154" s="1124"/>
      <c r="F154" s="1124"/>
      <c r="G154" s="1125"/>
      <c r="H154" s="691">
        <v>0</v>
      </c>
      <c r="I154" s="691">
        <v>0</v>
      </c>
      <c r="J154" s="693">
        <f>K154+N154</f>
        <v>0</v>
      </c>
      <c r="K154" s="693">
        <f>L154+M154</f>
        <v>0</v>
      </c>
      <c r="L154" s="694">
        <v>0</v>
      </c>
      <c r="M154" s="694">
        <v>0</v>
      </c>
      <c r="N154" s="693">
        <f>O154+R154+U154</f>
        <v>0</v>
      </c>
      <c r="O154" s="693">
        <f>P154+Q154</f>
        <v>0</v>
      </c>
      <c r="P154" s="694">
        <v>0</v>
      </c>
      <c r="Q154" s="694">
        <v>0</v>
      </c>
      <c r="R154" s="693">
        <f>S154+T154</f>
        <v>0</v>
      </c>
      <c r="S154" s="694">
        <v>0</v>
      </c>
      <c r="T154" s="694">
        <v>0</v>
      </c>
      <c r="U154" s="693">
        <f>V154+W154</f>
        <v>0</v>
      </c>
      <c r="V154" s="694">
        <v>0</v>
      </c>
      <c r="W154" s="694">
        <v>0</v>
      </c>
    </row>
    <row r="155" spans="1:23" s="692" customFormat="1" ht="15.75" hidden="1" customHeight="1">
      <c r="A155" s="1124"/>
      <c r="B155" s="1125"/>
      <c r="C155" s="1126"/>
      <c r="D155" s="1127"/>
      <c r="E155" s="1124"/>
      <c r="F155" s="1124"/>
      <c r="G155" s="1125"/>
      <c r="H155" s="691">
        <v>231620</v>
      </c>
      <c r="I155" s="691">
        <v>180335</v>
      </c>
      <c r="J155" s="1128">
        <f t="shared" ref="J155:W155" si="27">J152+J154</f>
        <v>341896</v>
      </c>
      <c r="K155" s="1128">
        <f t="shared" si="27"/>
        <v>290611</v>
      </c>
      <c r="L155" s="1129">
        <f t="shared" si="27"/>
        <v>20881</v>
      </c>
      <c r="M155" s="1129">
        <f t="shared" si="27"/>
        <v>269730</v>
      </c>
      <c r="N155" s="1128">
        <f t="shared" si="27"/>
        <v>51285</v>
      </c>
      <c r="O155" s="1128">
        <f t="shared" si="27"/>
        <v>0</v>
      </c>
      <c r="P155" s="1129">
        <f t="shared" si="27"/>
        <v>0</v>
      </c>
      <c r="Q155" s="1129">
        <f t="shared" si="27"/>
        <v>0</v>
      </c>
      <c r="R155" s="1128">
        <f t="shared" si="27"/>
        <v>51285</v>
      </c>
      <c r="S155" s="1129">
        <f t="shared" si="27"/>
        <v>3685</v>
      </c>
      <c r="T155" s="1129">
        <f t="shared" si="27"/>
        <v>47600</v>
      </c>
      <c r="U155" s="1128">
        <f t="shared" si="27"/>
        <v>0</v>
      </c>
      <c r="V155" s="1129">
        <f t="shared" si="27"/>
        <v>0</v>
      </c>
      <c r="W155" s="1129">
        <f t="shared" si="27"/>
        <v>0</v>
      </c>
    </row>
    <row r="156" spans="1:23" s="692" customFormat="1" ht="15.75" hidden="1" customHeight="1">
      <c r="A156" s="1124"/>
      <c r="B156" s="1125"/>
      <c r="C156" s="1126"/>
      <c r="D156" s="1127"/>
      <c r="E156" s="1124"/>
      <c r="F156" s="1124"/>
      <c r="G156" s="1125"/>
      <c r="H156" s="691">
        <v>0</v>
      </c>
      <c r="I156" s="691">
        <v>0</v>
      </c>
      <c r="J156" s="1128"/>
      <c r="K156" s="1128"/>
      <c r="L156" s="1129"/>
      <c r="M156" s="1129"/>
      <c r="N156" s="1128"/>
      <c r="O156" s="1128"/>
      <c r="P156" s="1129"/>
      <c r="Q156" s="1129"/>
      <c r="R156" s="1128"/>
      <c r="S156" s="1129"/>
      <c r="T156" s="1129"/>
      <c r="U156" s="1128"/>
      <c r="V156" s="1129"/>
      <c r="W156" s="1129"/>
    </row>
    <row r="157" spans="1:23" s="692" customFormat="1" ht="16.5" hidden="1" customHeight="1">
      <c r="A157" s="1124">
        <v>8</v>
      </c>
      <c r="B157" s="1125" t="s">
        <v>793</v>
      </c>
      <c r="C157" s="1126" t="s">
        <v>794</v>
      </c>
      <c r="D157" s="1127" t="s">
        <v>802</v>
      </c>
      <c r="E157" s="1142" t="s">
        <v>803</v>
      </c>
      <c r="F157" s="1124" t="s">
        <v>797</v>
      </c>
      <c r="G157" s="1125" t="s">
        <v>764</v>
      </c>
      <c r="H157" s="691">
        <f>H158+H159+H160+H161</f>
        <v>925190</v>
      </c>
      <c r="I157" s="691">
        <f>I158+I159+I160+I161</f>
        <v>16536</v>
      </c>
      <c r="J157" s="1128">
        <f>K157+N157</f>
        <v>557433</v>
      </c>
      <c r="K157" s="1128">
        <f>L157+M157</f>
        <v>473818</v>
      </c>
      <c r="L157" s="1129">
        <v>81543</v>
      </c>
      <c r="M157" s="1129">
        <v>392275</v>
      </c>
      <c r="N157" s="1128">
        <f>O157+R157+U157</f>
        <v>83615</v>
      </c>
      <c r="O157" s="1128">
        <f>P157+Q157</f>
        <v>0</v>
      </c>
      <c r="P157" s="1129">
        <v>0</v>
      </c>
      <c r="Q157" s="1129">
        <v>0</v>
      </c>
      <c r="R157" s="1128">
        <f>S157+T157</f>
        <v>83615</v>
      </c>
      <c r="S157" s="1129">
        <v>14390</v>
      </c>
      <c r="T157" s="1129">
        <v>69225</v>
      </c>
      <c r="U157" s="1128">
        <f>V157+W157</f>
        <v>0</v>
      </c>
      <c r="V157" s="1129">
        <v>0</v>
      </c>
      <c r="W157" s="1129">
        <v>0</v>
      </c>
    </row>
    <row r="158" spans="1:23" s="692" customFormat="1" ht="16.5" hidden="1" customHeight="1">
      <c r="A158" s="1124"/>
      <c r="B158" s="1125"/>
      <c r="C158" s="1126"/>
      <c r="D158" s="1127"/>
      <c r="E158" s="1142"/>
      <c r="F158" s="1124"/>
      <c r="G158" s="1125"/>
      <c r="H158" s="691">
        <v>786411</v>
      </c>
      <c r="I158" s="691">
        <v>14055</v>
      </c>
      <c r="J158" s="1128"/>
      <c r="K158" s="1128"/>
      <c r="L158" s="1129"/>
      <c r="M158" s="1129"/>
      <c r="N158" s="1128"/>
      <c r="O158" s="1128"/>
      <c r="P158" s="1129"/>
      <c r="Q158" s="1129"/>
      <c r="R158" s="1128"/>
      <c r="S158" s="1129"/>
      <c r="T158" s="1129"/>
      <c r="U158" s="1128"/>
      <c r="V158" s="1129"/>
      <c r="W158" s="1129"/>
    </row>
    <row r="159" spans="1:23" s="692" customFormat="1" ht="16.5" hidden="1" customHeight="1">
      <c r="A159" s="1124"/>
      <c r="B159" s="1125"/>
      <c r="C159" s="1126"/>
      <c r="D159" s="1127"/>
      <c r="E159" s="1142"/>
      <c r="F159" s="1124"/>
      <c r="G159" s="1125"/>
      <c r="H159" s="691">
        <v>0</v>
      </c>
      <c r="I159" s="691">
        <v>0</v>
      </c>
      <c r="J159" s="693">
        <f>K159+N159</f>
        <v>0</v>
      </c>
      <c r="K159" s="693">
        <f>L159+M159</f>
        <v>0</v>
      </c>
      <c r="L159" s="694">
        <v>0</v>
      </c>
      <c r="M159" s="694">
        <v>0</v>
      </c>
      <c r="N159" s="693">
        <f>O159+R159+U159</f>
        <v>0</v>
      </c>
      <c r="O159" s="693">
        <f>P159+Q159</f>
        <v>0</v>
      </c>
      <c r="P159" s="694">
        <v>0</v>
      </c>
      <c r="Q159" s="694">
        <v>0</v>
      </c>
      <c r="R159" s="693">
        <f>S159+T159</f>
        <v>0</v>
      </c>
      <c r="S159" s="694">
        <v>0</v>
      </c>
      <c r="T159" s="694">
        <v>0</v>
      </c>
      <c r="U159" s="693">
        <f>V159+W159</f>
        <v>0</v>
      </c>
      <c r="V159" s="694">
        <v>0</v>
      </c>
      <c r="W159" s="694">
        <v>0</v>
      </c>
    </row>
    <row r="160" spans="1:23" s="692" customFormat="1" ht="16.5" hidden="1" customHeight="1">
      <c r="A160" s="1124"/>
      <c r="B160" s="1125"/>
      <c r="C160" s="1126"/>
      <c r="D160" s="1127"/>
      <c r="E160" s="1142"/>
      <c r="F160" s="1124"/>
      <c r="G160" s="1125"/>
      <c r="H160" s="691">
        <v>138779</v>
      </c>
      <c r="I160" s="691">
        <v>2481</v>
      </c>
      <c r="J160" s="1128">
        <f t="shared" ref="J160:W160" si="28">J157+J159</f>
        <v>557433</v>
      </c>
      <c r="K160" s="1128">
        <f t="shared" si="28"/>
        <v>473818</v>
      </c>
      <c r="L160" s="1129">
        <f t="shared" si="28"/>
        <v>81543</v>
      </c>
      <c r="M160" s="1129">
        <f t="shared" si="28"/>
        <v>392275</v>
      </c>
      <c r="N160" s="1128">
        <f t="shared" si="28"/>
        <v>83615</v>
      </c>
      <c r="O160" s="1128">
        <f t="shared" si="28"/>
        <v>0</v>
      </c>
      <c r="P160" s="1129">
        <f t="shared" si="28"/>
        <v>0</v>
      </c>
      <c r="Q160" s="1129">
        <f t="shared" si="28"/>
        <v>0</v>
      </c>
      <c r="R160" s="1128">
        <f t="shared" si="28"/>
        <v>83615</v>
      </c>
      <c r="S160" s="1129">
        <f t="shared" si="28"/>
        <v>14390</v>
      </c>
      <c r="T160" s="1129">
        <f t="shared" si="28"/>
        <v>69225</v>
      </c>
      <c r="U160" s="1128">
        <f t="shared" si="28"/>
        <v>0</v>
      </c>
      <c r="V160" s="1129">
        <f t="shared" si="28"/>
        <v>0</v>
      </c>
      <c r="W160" s="1129">
        <f t="shared" si="28"/>
        <v>0</v>
      </c>
    </row>
    <row r="161" spans="1:23" s="692" customFormat="1" ht="16.5" hidden="1" customHeight="1">
      <c r="A161" s="1124"/>
      <c r="B161" s="1125"/>
      <c r="C161" s="1126"/>
      <c r="D161" s="1127"/>
      <c r="E161" s="1142"/>
      <c r="F161" s="1124"/>
      <c r="G161" s="1125"/>
      <c r="H161" s="691">
        <v>0</v>
      </c>
      <c r="I161" s="691">
        <v>0</v>
      </c>
      <c r="J161" s="1128"/>
      <c r="K161" s="1128"/>
      <c r="L161" s="1129"/>
      <c r="M161" s="1129"/>
      <c r="N161" s="1128"/>
      <c r="O161" s="1128"/>
      <c r="P161" s="1129"/>
      <c r="Q161" s="1129"/>
      <c r="R161" s="1128"/>
      <c r="S161" s="1129"/>
      <c r="T161" s="1129"/>
      <c r="U161" s="1128"/>
      <c r="V161" s="1129"/>
      <c r="W161" s="1129"/>
    </row>
    <row r="162" spans="1:23" s="692" customFormat="1" ht="16.5" hidden="1" customHeight="1">
      <c r="A162" s="1124">
        <v>9</v>
      </c>
      <c r="B162" s="1125" t="s">
        <v>793</v>
      </c>
      <c r="C162" s="1126" t="s">
        <v>794</v>
      </c>
      <c r="D162" s="1127" t="s">
        <v>804</v>
      </c>
      <c r="E162" s="1142" t="s">
        <v>803</v>
      </c>
      <c r="F162" s="1124" t="s">
        <v>797</v>
      </c>
      <c r="G162" s="1125" t="s">
        <v>740</v>
      </c>
      <c r="H162" s="691">
        <f>H163+H164+H165+H166</f>
        <v>4493063</v>
      </c>
      <c r="I162" s="691">
        <f>I163+I164+I165+I166</f>
        <v>13455</v>
      </c>
      <c r="J162" s="1128">
        <f>K162+N162</f>
        <v>3382738</v>
      </c>
      <c r="K162" s="1128">
        <f>L162+M162</f>
        <v>2875328</v>
      </c>
      <c r="L162" s="1129">
        <v>476747</v>
      </c>
      <c r="M162" s="1129">
        <v>2398581</v>
      </c>
      <c r="N162" s="1128">
        <f>O162+R162+U162</f>
        <v>507410</v>
      </c>
      <c r="O162" s="1128">
        <f>P162+Q162</f>
        <v>0</v>
      </c>
      <c r="P162" s="1129">
        <v>0</v>
      </c>
      <c r="Q162" s="1129">
        <v>0</v>
      </c>
      <c r="R162" s="1128">
        <f>S162+T162</f>
        <v>204050</v>
      </c>
      <c r="S162" s="1129">
        <v>84131</v>
      </c>
      <c r="T162" s="1129">
        <v>119919</v>
      </c>
      <c r="U162" s="1128">
        <f>V162+W162</f>
        <v>303360</v>
      </c>
      <c r="V162" s="1129">
        <v>0</v>
      </c>
      <c r="W162" s="1129">
        <v>303360</v>
      </c>
    </row>
    <row r="163" spans="1:23" s="692" customFormat="1" ht="16.5" hidden="1" customHeight="1">
      <c r="A163" s="1124"/>
      <c r="B163" s="1125"/>
      <c r="C163" s="1126"/>
      <c r="D163" s="1127"/>
      <c r="E163" s="1142"/>
      <c r="F163" s="1124"/>
      <c r="G163" s="1125"/>
      <c r="H163" s="691">
        <v>3819105</v>
      </c>
      <c r="I163" s="691">
        <v>11437</v>
      </c>
      <c r="J163" s="1128"/>
      <c r="K163" s="1128"/>
      <c r="L163" s="1129"/>
      <c r="M163" s="1129"/>
      <c r="N163" s="1128"/>
      <c r="O163" s="1128"/>
      <c r="P163" s="1129"/>
      <c r="Q163" s="1129"/>
      <c r="R163" s="1128"/>
      <c r="S163" s="1129"/>
      <c r="T163" s="1129"/>
      <c r="U163" s="1128"/>
      <c r="V163" s="1129"/>
      <c r="W163" s="1129"/>
    </row>
    <row r="164" spans="1:23" s="692" customFormat="1" ht="16.5" hidden="1" customHeight="1">
      <c r="A164" s="1124"/>
      <c r="B164" s="1125"/>
      <c r="C164" s="1126"/>
      <c r="D164" s="1127"/>
      <c r="E164" s="1142"/>
      <c r="F164" s="1124"/>
      <c r="G164" s="1125"/>
      <c r="H164" s="691">
        <v>0</v>
      </c>
      <c r="I164" s="691">
        <v>0</v>
      </c>
      <c r="J164" s="693">
        <f>K164+N164</f>
        <v>0</v>
      </c>
      <c r="K164" s="693">
        <f>L164+M164</f>
        <v>0</v>
      </c>
      <c r="L164" s="694">
        <v>0</v>
      </c>
      <c r="M164" s="694">
        <v>0</v>
      </c>
      <c r="N164" s="693">
        <f>O164+R164+U164</f>
        <v>0</v>
      </c>
      <c r="O164" s="693">
        <f>P164+Q164</f>
        <v>0</v>
      </c>
      <c r="P164" s="694">
        <v>0</v>
      </c>
      <c r="Q164" s="694">
        <v>0</v>
      </c>
      <c r="R164" s="693">
        <f>S164+T164</f>
        <v>0</v>
      </c>
      <c r="S164" s="694">
        <v>0</v>
      </c>
      <c r="T164" s="694">
        <v>0</v>
      </c>
      <c r="U164" s="693">
        <f>V164+W164</f>
        <v>0</v>
      </c>
      <c r="V164" s="694">
        <v>0</v>
      </c>
      <c r="W164" s="694">
        <v>0</v>
      </c>
    </row>
    <row r="165" spans="1:23" s="692" customFormat="1" ht="16.5" hidden="1" customHeight="1">
      <c r="A165" s="1124"/>
      <c r="B165" s="1125"/>
      <c r="C165" s="1126"/>
      <c r="D165" s="1127"/>
      <c r="E165" s="1142"/>
      <c r="F165" s="1124"/>
      <c r="G165" s="1125"/>
      <c r="H165" s="691">
        <v>370598</v>
      </c>
      <c r="I165" s="691">
        <v>2018</v>
      </c>
      <c r="J165" s="1128">
        <f t="shared" ref="J165:W165" si="29">J162+J164</f>
        <v>3382738</v>
      </c>
      <c r="K165" s="1128">
        <f t="shared" si="29"/>
        <v>2875328</v>
      </c>
      <c r="L165" s="1129">
        <f t="shared" si="29"/>
        <v>476747</v>
      </c>
      <c r="M165" s="1129">
        <f t="shared" si="29"/>
        <v>2398581</v>
      </c>
      <c r="N165" s="1128">
        <f t="shared" si="29"/>
        <v>507410</v>
      </c>
      <c r="O165" s="1128">
        <f t="shared" si="29"/>
        <v>0</v>
      </c>
      <c r="P165" s="1129">
        <f t="shared" si="29"/>
        <v>0</v>
      </c>
      <c r="Q165" s="1129">
        <f t="shared" si="29"/>
        <v>0</v>
      </c>
      <c r="R165" s="1128">
        <f t="shared" si="29"/>
        <v>204050</v>
      </c>
      <c r="S165" s="1129">
        <f t="shared" si="29"/>
        <v>84131</v>
      </c>
      <c r="T165" s="1129">
        <f t="shared" si="29"/>
        <v>119919</v>
      </c>
      <c r="U165" s="1128">
        <f t="shared" si="29"/>
        <v>303360</v>
      </c>
      <c r="V165" s="1129">
        <f t="shared" si="29"/>
        <v>0</v>
      </c>
      <c r="W165" s="1129">
        <f t="shared" si="29"/>
        <v>303360</v>
      </c>
    </row>
    <row r="166" spans="1:23" s="692" customFormat="1" ht="16.5" hidden="1" customHeight="1">
      <c r="A166" s="1124"/>
      <c r="B166" s="1125"/>
      <c r="C166" s="1126"/>
      <c r="D166" s="1127"/>
      <c r="E166" s="1142"/>
      <c r="F166" s="1124"/>
      <c r="G166" s="1125"/>
      <c r="H166" s="691">
        <v>303360</v>
      </c>
      <c r="I166" s="691">
        <v>0</v>
      </c>
      <c r="J166" s="1128"/>
      <c r="K166" s="1128"/>
      <c r="L166" s="1129"/>
      <c r="M166" s="1129"/>
      <c r="N166" s="1128"/>
      <c r="O166" s="1128"/>
      <c r="P166" s="1129"/>
      <c r="Q166" s="1129"/>
      <c r="R166" s="1128"/>
      <c r="S166" s="1129"/>
      <c r="T166" s="1129"/>
      <c r="U166" s="1128"/>
      <c r="V166" s="1129"/>
      <c r="W166" s="1129"/>
    </row>
    <row r="167" spans="1:23" s="692" customFormat="1" ht="15" hidden="1" customHeight="1">
      <c r="A167" s="1124">
        <v>12</v>
      </c>
      <c r="B167" s="1125" t="s">
        <v>805</v>
      </c>
      <c r="C167" s="1126" t="s">
        <v>788</v>
      </c>
      <c r="D167" s="1127" t="s">
        <v>806</v>
      </c>
      <c r="E167" s="1124" t="s">
        <v>807</v>
      </c>
      <c r="F167" s="1124" t="s">
        <v>808</v>
      </c>
      <c r="G167" s="1125" t="s">
        <v>791</v>
      </c>
      <c r="H167" s="691">
        <f>H168+H169+H170+H171</f>
        <v>50078</v>
      </c>
      <c r="I167" s="691">
        <f>I168+I169+I170+I171</f>
        <v>25039</v>
      </c>
      <c r="J167" s="1129">
        <f>K167+N167</f>
        <v>25039</v>
      </c>
      <c r="K167" s="1129">
        <f>L167+M167</f>
        <v>0</v>
      </c>
      <c r="L167" s="1129">
        <v>0</v>
      </c>
      <c r="M167" s="1129">
        <v>0</v>
      </c>
      <c r="N167" s="1129">
        <f>O167+R167+U167</f>
        <v>25039</v>
      </c>
      <c r="O167" s="1129">
        <f>P167+Q167</f>
        <v>0</v>
      </c>
      <c r="P167" s="1129">
        <v>0</v>
      </c>
      <c r="Q167" s="1129">
        <v>0</v>
      </c>
      <c r="R167" s="1129">
        <f>S167+T167</f>
        <v>0</v>
      </c>
      <c r="S167" s="1129">
        <v>0</v>
      </c>
      <c r="T167" s="1129">
        <v>0</v>
      </c>
      <c r="U167" s="1129">
        <f>V167+W167</f>
        <v>25039</v>
      </c>
      <c r="V167" s="1129">
        <v>0</v>
      </c>
      <c r="W167" s="1129">
        <v>25039</v>
      </c>
    </row>
    <row r="168" spans="1:23" s="692" customFormat="1" ht="15" hidden="1" customHeight="1">
      <c r="A168" s="1124"/>
      <c r="B168" s="1125"/>
      <c r="C168" s="1126"/>
      <c r="D168" s="1127"/>
      <c r="E168" s="1124"/>
      <c r="F168" s="1124"/>
      <c r="G168" s="1125"/>
      <c r="H168" s="691">
        <v>0</v>
      </c>
      <c r="I168" s="691">
        <v>0</v>
      </c>
      <c r="J168" s="1129"/>
      <c r="K168" s="1129"/>
      <c r="L168" s="1129"/>
      <c r="M168" s="1129"/>
      <c r="N168" s="1129"/>
      <c r="O168" s="1129"/>
      <c r="P168" s="1129"/>
      <c r="Q168" s="1129"/>
      <c r="R168" s="1129"/>
      <c r="S168" s="1129"/>
      <c r="T168" s="1129"/>
      <c r="U168" s="1129"/>
      <c r="V168" s="1129"/>
      <c r="W168" s="1129"/>
    </row>
    <row r="169" spans="1:23" s="692" customFormat="1" ht="15" hidden="1" customHeight="1">
      <c r="A169" s="1124"/>
      <c r="B169" s="1125"/>
      <c r="C169" s="1126"/>
      <c r="D169" s="1127"/>
      <c r="E169" s="1124"/>
      <c r="F169" s="1124"/>
      <c r="G169" s="1125"/>
      <c r="H169" s="691">
        <v>0</v>
      </c>
      <c r="I169" s="691">
        <v>0</v>
      </c>
      <c r="J169" s="695">
        <f>K169+N169</f>
        <v>0</v>
      </c>
      <c r="K169" s="695">
        <f>L169+M169</f>
        <v>0</v>
      </c>
      <c r="L169" s="694">
        <v>0</v>
      </c>
      <c r="M169" s="694">
        <v>0</v>
      </c>
      <c r="N169" s="695">
        <f>O169+R169+U169</f>
        <v>0</v>
      </c>
      <c r="O169" s="695">
        <f>P169+Q169</f>
        <v>0</v>
      </c>
      <c r="P169" s="694">
        <v>0</v>
      </c>
      <c r="Q169" s="694">
        <v>0</v>
      </c>
      <c r="R169" s="695">
        <f>S169+T169</f>
        <v>0</v>
      </c>
      <c r="S169" s="694">
        <v>0</v>
      </c>
      <c r="T169" s="694">
        <v>0</v>
      </c>
      <c r="U169" s="695">
        <f>V169+W169</f>
        <v>0</v>
      </c>
      <c r="V169" s="694">
        <v>0</v>
      </c>
      <c r="W169" s="694">
        <v>0</v>
      </c>
    </row>
    <row r="170" spans="1:23" s="692" customFormat="1" ht="15" hidden="1" customHeight="1">
      <c r="A170" s="1124"/>
      <c r="B170" s="1125"/>
      <c r="C170" s="1126"/>
      <c r="D170" s="1127"/>
      <c r="E170" s="1124"/>
      <c r="F170" s="1124"/>
      <c r="G170" s="1125"/>
      <c r="H170" s="691">
        <v>25039</v>
      </c>
      <c r="I170" s="691">
        <v>25039</v>
      </c>
      <c r="J170" s="1129">
        <f>J167+J169</f>
        <v>25039</v>
      </c>
      <c r="K170" s="1129">
        <f t="shared" ref="K170:W170" si="30">K167+K169</f>
        <v>0</v>
      </c>
      <c r="L170" s="1129">
        <f t="shared" si="30"/>
        <v>0</v>
      </c>
      <c r="M170" s="1129">
        <f t="shared" si="30"/>
        <v>0</v>
      </c>
      <c r="N170" s="1129">
        <f t="shared" si="30"/>
        <v>25039</v>
      </c>
      <c r="O170" s="1129">
        <f t="shared" si="30"/>
        <v>0</v>
      </c>
      <c r="P170" s="1129">
        <f t="shared" si="30"/>
        <v>0</v>
      </c>
      <c r="Q170" s="1129">
        <f t="shared" si="30"/>
        <v>0</v>
      </c>
      <c r="R170" s="1129">
        <f t="shared" si="30"/>
        <v>0</v>
      </c>
      <c r="S170" s="1129">
        <f t="shared" si="30"/>
        <v>0</v>
      </c>
      <c r="T170" s="1129">
        <f t="shared" si="30"/>
        <v>0</v>
      </c>
      <c r="U170" s="1129">
        <f t="shared" si="30"/>
        <v>25039</v>
      </c>
      <c r="V170" s="1129">
        <f t="shared" si="30"/>
        <v>0</v>
      </c>
      <c r="W170" s="1129">
        <f t="shared" si="30"/>
        <v>25039</v>
      </c>
    </row>
    <row r="171" spans="1:23" s="692" customFormat="1" ht="15" hidden="1" customHeight="1">
      <c r="A171" s="1124"/>
      <c r="B171" s="1125"/>
      <c r="C171" s="1126"/>
      <c r="D171" s="1127"/>
      <c r="E171" s="1124"/>
      <c r="F171" s="1124"/>
      <c r="G171" s="1125"/>
      <c r="H171" s="691">
        <v>25039</v>
      </c>
      <c r="I171" s="691">
        <v>0</v>
      </c>
      <c r="J171" s="1129"/>
      <c r="K171" s="1129"/>
      <c r="L171" s="1129"/>
      <c r="M171" s="1129"/>
      <c r="N171" s="1129"/>
      <c r="O171" s="1129"/>
      <c r="P171" s="1129"/>
      <c r="Q171" s="1129"/>
      <c r="R171" s="1129"/>
      <c r="S171" s="1129"/>
      <c r="T171" s="1129"/>
      <c r="U171" s="1129"/>
      <c r="V171" s="1129"/>
      <c r="W171" s="1129"/>
    </row>
    <row r="172" spans="1:23" s="692" customFormat="1" ht="15" hidden="1" customHeight="1">
      <c r="A172" s="1124">
        <v>13</v>
      </c>
      <c r="B172" s="1125" t="s">
        <v>805</v>
      </c>
      <c r="C172" s="1126" t="s">
        <v>788</v>
      </c>
      <c r="D172" s="1127" t="s">
        <v>809</v>
      </c>
      <c r="E172" s="1124" t="s">
        <v>807</v>
      </c>
      <c r="F172" s="1124" t="s">
        <v>808</v>
      </c>
      <c r="G172" s="1125" t="s">
        <v>791</v>
      </c>
      <c r="H172" s="691">
        <f>H173+H174+H175+H176</f>
        <v>53184</v>
      </c>
      <c r="I172" s="691">
        <f>I173+I174+I175+I176</f>
        <v>26592</v>
      </c>
      <c r="J172" s="1129">
        <f>K172+N172</f>
        <v>26592</v>
      </c>
      <c r="K172" s="1129">
        <f>L172+M172</f>
        <v>0</v>
      </c>
      <c r="L172" s="1129">
        <v>0</v>
      </c>
      <c r="M172" s="1129">
        <v>0</v>
      </c>
      <c r="N172" s="1129">
        <f>O172+R172+U172</f>
        <v>26592</v>
      </c>
      <c r="O172" s="1129">
        <f>P172+Q172</f>
        <v>0</v>
      </c>
      <c r="P172" s="1129">
        <v>0</v>
      </c>
      <c r="Q172" s="1129">
        <v>0</v>
      </c>
      <c r="R172" s="1129">
        <f>S172+T172</f>
        <v>0</v>
      </c>
      <c r="S172" s="1129">
        <v>0</v>
      </c>
      <c r="T172" s="1129">
        <v>0</v>
      </c>
      <c r="U172" s="1129">
        <f>V172+W172</f>
        <v>26592</v>
      </c>
      <c r="V172" s="1129">
        <v>0</v>
      </c>
      <c r="W172" s="1129">
        <v>26592</v>
      </c>
    </row>
    <row r="173" spans="1:23" s="692" customFormat="1" ht="15" hidden="1" customHeight="1">
      <c r="A173" s="1124"/>
      <c r="B173" s="1125"/>
      <c r="C173" s="1126"/>
      <c r="D173" s="1127"/>
      <c r="E173" s="1124"/>
      <c r="F173" s="1124"/>
      <c r="G173" s="1125"/>
      <c r="H173" s="691">
        <v>0</v>
      </c>
      <c r="I173" s="691">
        <v>0</v>
      </c>
      <c r="J173" s="1129"/>
      <c r="K173" s="1129"/>
      <c r="L173" s="1129"/>
      <c r="M173" s="1129"/>
      <c r="N173" s="1129"/>
      <c r="O173" s="1129"/>
      <c r="P173" s="1129"/>
      <c r="Q173" s="1129"/>
      <c r="R173" s="1129"/>
      <c r="S173" s="1129"/>
      <c r="T173" s="1129"/>
      <c r="U173" s="1129"/>
      <c r="V173" s="1129"/>
      <c r="W173" s="1129"/>
    </row>
    <row r="174" spans="1:23" s="692" customFormat="1" ht="15" hidden="1" customHeight="1">
      <c r="A174" s="1124"/>
      <c r="B174" s="1125"/>
      <c r="C174" s="1126"/>
      <c r="D174" s="1127"/>
      <c r="E174" s="1124"/>
      <c r="F174" s="1124"/>
      <c r="G174" s="1125"/>
      <c r="H174" s="691">
        <v>0</v>
      </c>
      <c r="I174" s="691">
        <v>0</v>
      </c>
      <c r="J174" s="695">
        <f>K174+N174</f>
        <v>0</v>
      </c>
      <c r="K174" s="695">
        <f>L174+M174</f>
        <v>0</v>
      </c>
      <c r="L174" s="694">
        <v>0</v>
      </c>
      <c r="M174" s="694">
        <v>0</v>
      </c>
      <c r="N174" s="695">
        <f>O174+R174+U174</f>
        <v>0</v>
      </c>
      <c r="O174" s="695">
        <f>P174+Q174</f>
        <v>0</v>
      </c>
      <c r="P174" s="694">
        <v>0</v>
      </c>
      <c r="Q174" s="694">
        <v>0</v>
      </c>
      <c r="R174" s="695">
        <f>S174+T174</f>
        <v>0</v>
      </c>
      <c r="S174" s="694">
        <v>0</v>
      </c>
      <c r="T174" s="694">
        <v>0</v>
      </c>
      <c r="U174" s="695">
        <f>V174+W174</f>
        <v>0</v>
      </c>
      <c r="V174" s="694">
        <v>0</v>
      </c>
      <c r="W174" s="694">
        <v>0</v>
      </c>
    </row>
    <row r="175" spans="1:23" s="692" customFormat="1" ht="15" hidden="1" customHeight="1">
      <c r="A175" s="1124"/>
      <c r="B175" s="1125"/>
      <c r="C175" s="1126"/>
      <c r="D175" s="1127"/>
      <c r="E175" s="1124"/>
      <c r="F175" s="1124"/>
      <c r="G175" s="1125"/>
      <c r="H175" s="691">
        <v>26592</v>
      </c>
      <c r="I175" s="691">
        <v>26592</v>
      </c>
      <c r="J175" s="1129">
        <f>J172+J174</f>
        <v>26592</v>
      </c>
      <c r="K175" s="1129">
        <f t="shared" ref="K175:W175" si="31">K172+K174</f>
        <v>0</v>
      </c>
      <c r="L175" s="1129">
        <f t="shared" si="31"/>
        <v>0</v>
      </c>
      <c r="M175" s="1129">
        <f t="shared" si="31"/>
        <v>0</v>
      </c>
      <c r="N175" s="1129">
        <f t="shared" si="31"/>
        <v>26592</v>
      </c>
      <c r="O175" s="1129">
        <f t="shared" si="31"/>
        <v>0</v>
      </c>
      <c r="P175" s="1129">
        <f t="shared" si="31"/>
        <v>0</v>
      </c>
      <c r="Q175" s="1129">
        <f t="shared" si="31"/>
        <v>0</v>
      </c>
      <c r="R175" s="1129">
        <f t="shared" si="31"/>
        <v>0</v>
      </c>
      <c r="S175" s="1129">
        <f t="shared" si="31"/>
        <v>0</v>
      </c>
      <c r="T175" s="1129">
        <f t="shared" si="31"/>
        <v>0</v>
      </c>
      <c r="U175" s="1129">
        <f t="shared" si="31"/>
        <v>26592</v>
      </c>
      <c r="V175" s="1129">
        <f t="shared" si="31"/>
        <v>0</v>
      </c>
      <c r="W175" s="1129">
        <f t="shared" si="31"/>
        <v>26592</v>
      </c>
    </row>
    <row r="176" spans="1:23" s="692" customFormat="1" ht="15" hidden="1" customHeight="1">
      <c r="A176" s="1124"/>
      <c r="B176" s="1125"/>
      <c r="C176" s="1126"/>
      <c r="D176" s="1127"/>
      <c r="E176" s="1124"/>
      <c r="F176" s="1124"/>
      <c r="G176" s="1125"/>
      <c r="H176" s="691">
        <v>26592</v>
      </c>
      <c r="I176" s="691">
        <v>0</v>
      </c>
      <c r="J176" s="1129"/>
      <c r="K176" s="1129"/>
      <c r="L176" s="1129"/>
      <c r="M176" s="1129"/>
      <c r="N176" s="1129"/>
      <c r="O176" s="1129"/>
      <c r="P176" s="1129"/>
      <c r="Q176" s="1129"/>
      <c r="R176" s="1129"/>
      <c r="S176" s="1129"/>
      <c r="T176" s="1129"/>
      <c r="U176" s="1129"/>
      <c r="V176" s="1129"/>
      <c r="W176" s="1129"/>
    </row>
    <row r="177" spans="1:23" s="692" customFormat="1" ht="15.75" customHeight="1">
      <c r="A177" s="1124">
        <v>5</v>
      </c>
      <c r="B177" s="1143" t="s">
        <v>670</v>
      </c>
      <c r="C177" s="1126" t="s">
        <v>810</v>
      </c>
      <c r="D177" s="1144" t="s">
        <v>811</v>
      </c>
      <c r="E177" s="1139" t="s">
        <v>762</v>
      </c>
      <c r="F177" s="1124" t="s">
        <v>763</v>
      </c>
      <c r="G177" s="1124" t="s">
        <v>776</v>
      </c>
      <c r="H177" s="691">
        <f>H179+H178+H180+H181</f>
        <v>48598041</v>
      </c>
      <c r="I177" s="691">
        <f>I179+I178+I180+I181</f>
        <v>19915100</v>
      </c>
      <c r="J177" s="1128">
        <f>K177+N177</f>
        <v>28682941</v>
      </c>
      <c r="K177" s="1128">
        <f>L177+M177</f>
        <v>25194139</v>
      </c>
      <c r="L177" s="1129">
        <v>54188</v>
      </c>
      <c r="M177" s="1129">
        <v>25139951</v>
      </c>
      <c r="N177" s="1128">
        <f>O177+R177+U177</f>
        <v>3488802</v>
      </c>
      <c r="O177" s="1128">
        <f>P177+Q177</f>
        <v>0</v>
      </c>
      <c r="P177" s="1129">
        <v>0</v>
      </c>
      <c r="Q177" s="1129">
        <v>0</v>
      </c>
      <c r="R177" s="1128">
        <f>S177+T177</f>
        <v>2258082</v>
      </c>
      <c r="S177" s="1129">
        <v>9562</v>
      </c>
      <c r="T177" s="1129">
        <v>2248520</v>
      </c>
      <c r="U177" s="1128">
        <f>V177+W177</f>
        <v>1230720</v>
      </c>
      <c r="V177" s="1129">
        <v>0</v>
      </c>
      <c r="W177" s="1129">
        <v>1230720</v>
      </c>
    </row>
    <row r="178" spans="1:23" s="692" customFormat="1" ht="15.75" customHeight="1">
      <c r="A178" s="1124"/>
      <c r="B178" s="1143"/>
      <c r="C178" s="1126"/>
      <c r="D178" s="1144"/>
      <c r="E178" s="1140"/>
      <c r="F178" s="1124"/>
      <c r="G178" s="1124"/>
      <c r="H178" s="691">
        <v>40929158</v>
      </c>
      <c r="I178" s="691">
        <v>15735019</v>
      </c>
      <c r="J178" s="1128"/>
      <c r="K178" s="1128"/>
      <c r="L178" s="1129"/>
      <c r="M178" s="1129"/>
      <c r="N178" s="1128"/>
      <c r="O178" s="1128"/>
      <c r="P178" s="1129"/>
      <c r="Q178" s="1129"/>
      <c r="R178" s="1128"/>
      <c r="S178" s="1129"/>
      <c r="T178" s="1129"/>
      <c r="U178" s="1128"/>
      <c r="V178" s="1129"/>
      <c r="W178" s="1129"/>
    </row>
    <row r="179" spans="1:23" s="692" customFormat="1" ht="15.75" customHeight="1">
      <c r="A179" s="1124"/>
      <c r="B179" s="1143"/>
      <c r="C179" s="1126"/>
      <c r="D179" s="1144"/>
      <c r="E179" s="1140"/>
      <c r="F179" s="1124"/>
      <c r="G179" s="1124"/>
      <c r="H179" s="691">
        <v>0</v>
      </c>
      <c r="I179" s="691">
        <v>0</v>
      </c>
      <c r="J179" s="693">
        <f>K179+N179</f>
        <v>-13948248</v>
      </c>
      <c r="K179" s="693">
        <f>L179+M179</f>
        <v>-13948248</v>
      </c>
      <c r="L179" s="694">
        <v>0</v>
      </c>
      <c r="M179" s="694">
        <v>-13948248</v>
      </c>
      <c r="N179" s="693">
        <f>O179+R179+U179</f>
        <v>0</v>
      </c>
      <c r="O179" s="693">
        <f>P179+Q179</f>
        <v>0</v>
      </c>
      <c r="P179" s="694">
        <v>0</v>
      </c>
      <c r="Q179" s="694">
        <v>0</v>
      </c>
      <c r="R179" s="693">
        <f>S179+T179</f>
        <v>0</v>
      </c>
      <c r="S179" s="694">
        <v>0</v>
      </c>
      <c r="T179" s="694">
        <v>0</v>
      </c>
      <c r="U179" s="693">
        <f>V179+W179</f>
        <v>0</v>
      </c>
      <c r="V179" s="694">
        <v>0</v>
      </c>
      <c r="W179" s="694">
        <v>0</v>
      </c>
    </row>
    <row r="180" spans="1:23" s="692" customFormat="1" ht="15.75" customHeight="1">
      <c r="A180" s="1124"/>
      <c r="B180" s="1143"/>
      <c r="C180" s="1126"/>
      <c r="D180" s="1144"/>
      <c r="E180" s="1140"/>
      <c r="F180" s="1124"/>
      <c r="G180" s="1124"/>
      <c r="H180" s="691">
        <v>6438163</v>
      </c>
      <c r="I180" s="696">
        <v>4180081</v>
      </c>
      <c r="J180" s="1128">
        <f t="shared" ref="J180:W180" si="32">J177+J179</f>
        <v>14734693</v>
      </c>
      <c r="K180" s="1128">
        <f t="shared" si="32"/>
        <v>11245891</v>
      </c>
      <c r="L180" s="1129">
        <f t="shared" si="32"/>
        <v>54188</v>
      </c>
      <c r="M180" s="1129">
        <f t="shared" si="32"/>
        <v>11191703</v>
      </c>
      <c r="N180" s="1128">
        <f t="shared" si="32"/>
        <v>3488802</v>
      </c>
      <c r="O180" s="1128">
        <f t="shared" si="32"/>
        <v>0</v>
      </c>
      <c r="P180" s="1129">
        <f t="shared" si="32"/>
        <v>0</v>
      </c>
      <c r="Q180" s="1129">
        <f t="shared" si="32"/>
        <v>0</v>
      </c>
      <c r="R180" s="1128">
        <f t="shared" si="32"/>
        <v>2258082</v>
      </c>
      <c r="S180" s="1129">
        <f t="shared" si="32"/>
        <v>9562</v>
      </c>
      <c r="T180" s="1129">
        <f t="shared" si="32"/>
        <v>2248520</v>
      </c>
      <c r="U180" s="1128">
        <f t="shared" si="32"/>
        <v>1230720</v>
      </c>
      <c r="V180" s="1129">
        <f t="shared" si="32"/>
        <v>0</v>
      </c>
      <c r="W180" s="1129">
        <f t="shared" si="32"/>
        <v>1230720</v>
      </c>
    </row>
    <row r="181" spans="1:23" s="692" customFormat="1" ht="15.75" customHeight="1">
      <c r="A181" s="1124"/>
      <c r="B181" s="1143"/>
      <c r="C181" s="1126"/>
      <c r="D181" s="1144"/>
      <c r="E181" s="1141"/>
      <c r="F181" s="1124"/>
      <c r="G181" s="1124"/>
      <c r="H181" s="691">
        <v>1230720</v>
      </c>
      <c r="I181" s="691">
        <v>0</v>
      </c>
      <c r="J181" s="1128"/>
      <c r="K181" s="1128"/>
      <c r="L181" s="1129"/>
      <c r="M181" s="1129"/>
      <c r="N181" s="1128"/>
      <c r="O181" s="1128"/>
      <c r="P181" s="1129"/>
      <c r="Q181" s="1129"/>
      <c r="R181" s="1128"/>
      <c r="S181" s="1129"/>
      <c r="T181" s="1129"/>
      <c r="U181" s="1128"/>
      <c r="V181" s="1129"/>
      <c r="W181" s="1129"/>
    </row>
    <row r="182" spans="1:23" s="692" customFormat="1" ht="15.75" hidden="1" customHeight="1">
      <c r="A182" s="1124">
        <v>19</v>
      </c>
      <c r="B182" s="1143" t="s">
        <v>670</v>
      </c>
      <c r="C182" s="1126" t="s">
        <v>810</v>
      </c>
      <c r="D182" s="1144" t="s">
        <v>812</v>
      </c>
      <c r="E182" s="1139" t="s">
        <v>762</v>
      </c>
      <c r="F182" s="1124" t="s">
        <v>763</v>
      </c>
      <c r="G182" s="1124" t="s">
        <v>768</v>
      </c>
      <c r="H182" s="691">
        <f>H184+H183+H185+H186</f>
        <v>177332795</v>
      </c>
      <c r="I182" s="691">
        <f>I184+I183+I185+I186</f>
        <v>26994249</v>
      </c>
      <c r="J182" s="1128">
        <f>K182+N182</f>
        <v>5877461</v>
      </c>
      <c r="K182" s="1128">
        <f>L182+M182</f>
        <v>4388406</v>
      </c>
      <c r="L182" s="1129">
        <v>47987</v>
      </c>
      <c r="M182" s="1129">
        <v>4340419</v>
      </c>
      <c r="N182" s="1128">
        <f>O182+R182+U182</f>
        <v>1489055</v>
      </c>
      <c r="O182" s="1128">
        <f>P182+Q182</f>
        <v>0</v>
      </c>
      <c r="P182" s="1129">
        <v>0</v>
      </c>
      <c r="Q182" s="1129">
        <v>0</v>
      </c>
      <c r="R182" s="1128">
        <f>S182+T182</f>
        <v>1489055</v>
      </c>
      <c r="S182" s="1129">
        <v>8468</v>
      </c>
      <c r="T182" s="1129">
        <v>1480587</v>
      </c>
      <c r="U182" s="1128">
        <f>V182+W182</f>
        <v>0</v>
      </c>
      <c r="V182" s="1129">
        <v>0</v>
      </c>
      <c r="W182" s="1129">
        <v>0</v>
      </c>
    </row>
    <row r="183" spans="1:23" s="692" customFormat="1" ht="15.75" hidden="1" customHeight="1">
      <c r="A183" s="1124"/>
      <c r="B183" s="1143"/>
      <c r="C183" s="1126"/>
      <c r="D183" s="1144"/>
      <c r="E183" s="1140"/>
      <c r="F183" s="1124"/>
      <c r="G183" s="1124"/>
      <c r="H183" s="691">
        <v>139899604</v>
      </c>
      <c r="I183" s="691">
        <v>20140499</v>
      </c>
      <c r="J183" s="1128"/>
      <c r="K183" s="1128"/>
      <c r="L183" s="1129"/>
      <c r="M183" s="1129"/>
      <c r="N183" s="1128"/>
      <c r="O183" s="1128"/>
      <c r="P183" s="1129"/>
      <c r="Q183" s="1129"/>
      <c r="R183" s="1128"/>
      <c r="S183" s="1129"/>
      <c r="T183" s="1129"/>
      <c r="U183" s="1128"/>
      <c r="V183" s="1129"/>
      <c r="W183" s="1129"/>
    </row>
    <row r="184" spans="1:23" s="692" customFormat="1" ht="15.75" hidden="1" customHeight="1">
      <c r="A184" s="1124"/>
      <c r="B184" s="1143"/>
      <c r="C184" s="1126"/>
      <c r="D184" s="1144"/>
      <c r="E184" s="1140"/>
      <c r="F184" s="1124"/>
      <c r="G184" s="1124"/>
      <c r="H184" s="691">
        <v>0</v>
      </c>
      <c r="I184" s="691">
        <v>0</v>
      </c>
      <c r="J184" s="693">
        <f>K184+N184</f>
        <v>0</v>
      </c>
      <c r="K184" s="693">
        <f>L184+M184</f>
        <v>0</v>
      </c>
      <c r="L184" s="694">
        <v>0</v>
      </c>
      <c r="M184" s="694">
        <v>0</v>
      </c>
      <c r="N184" s="693">
        <f>O184+R184+U184</f>
        <v>0</v>
      </c>
      <c r="O184" s="693">
        <f>P184+Q184</f>
        <v>0</v>
      </c>
      <c r="P184" s="694">
        <v>0</v>
      </c>
      <c r="Q184" s="694">
        <v>0</v>
      </c>
      <c r="R184" s="693">
        <f>S184+T184</f>
        <v>0</v>
      </c>
      <c r="S184" s="694">
        <v>0</v>
      </c>
      <c r="T184" s="694">
        <v>0</v>
      </c>
      <c r="U184" s="693">
        <f>V184+W184</f>
        <v>0</v>
      </c>
      <c r="V184" s="694">
        <v>0</v>
      </c>
      <c r="W184" s="694">
        <v>0</v>
      </c>
    </row>
    <row r="185" spans="1:23" s="692" customFormat="1" ht="15.75" hidden="1" customHeight="1">
      <c r="A185" s="1124"/>
      <c r="B185" s="1143"/>
      <c r="C185" s="1126"/>
      <c r="D185" s="1144"/>
      <c r="E185" s="1140"/>
      <c r="F185" s="1124"/>
      <c r="G185" s="1124"/>
      <c r="H185" s="691">
        <v>33061735</v>
      </c>
      <c r="I185" s="691">
        <v>6853750</v>
      </c>
      <c r="J185" s="1128">
        <f t="shared" ref="J185:W185" si="33">J182+J184</f>
        <v>5877461</v>
      </c>
      <c r="K185" s="1128">
        <f t="shared" si="33"/>
        <v>4388406</v>
      </c>
      <c r="L185" s="1129">
        <f t="shared" si="33"/>
        <v>47987</v>
      </c>
      <c r="M185" s="1129">
        <f t="shared" si="33"/>
        <v>4340419</v>
      </c>
      <c r="N185" s="1128">
        <f t="shared" si="33"/>
        <v>1489055</v>
      </c>
      <c r="O185" s="1128">
        <f t="shared" si="33"/>
        <v>0</v>
      </c>
      <c r="P185" s="1129">
        <f t="shared" si="33"/>
        <v>0</v>
      </c>
      <c r="Q185" s="1129">
        <f t="shared" si="33"/>
        <v>0</v>
      </c>
      <c r="R185" s="1128">
        <f t="shared" si="33"/>
        <v>1489055</v>
      </c>
      <c r="S185" s="1129">
        <f t="shared" si="33"/>
        <v>8468</v>
      </c>
      <c r="T185" s="1129">
        <f t="shared" si="33"/>
        <v>1480587</v>
      </c>
      <c r="U185" s="1128">
        <f t="shared" si="33"/>
        <v>0</v>
      </c>
      <c r="V185" s="1129">
        <f t="shared" si="33"/>
        <v>0</v>
      </c>
      <c r="W185" s="1129">
        <f t="shared" si="33"/>
        <v>0</v>
      </c>
    </row>
    <row r="186" spans="1:23" s="692" customFormat="1" ht="15.75" hidden="1" customHeight="1">
      <c r="A186" s="1124"/>
      <c r="B186" s="1143"/>
      <c r="C186" s="1126"/>
      <c r="D186" s="1144"/>
      <c r="E186" s="1141"/>
      <c r="F186" s="1124"/>
      <c r="G186" s="1124"/>
      <c r="H186" s="691">
        <v>4371456</v>
      </c>
      <c r="I186" s="691">
        <v>0</v>
      </c>
      <c r="J186" s="1128"/>
      <c r="K186" s="1128"/>
      <c r="L186" s="1129"/>
      <c r="M186" s="1129"/>
      <c r="N186" s="1128"/>
      <c r="O186" s="1128"/>
      <c r="P186" s="1129"/>
      <c r="Q186" s="1129"/>
      <c r="R186" s="1128"/>
      <c r="S186" s="1129"/>
      <c r="T186" s="1129"/>
      <c r="U186" s="1128"/>
      <c r="V186" s="1129"/>
      <c r="W186" s="1129"/>
    </row>
    <row r="187" spans="1:23" s="692" customFormat="1" ht="15.75" hidden="1" customHeight="1">
      <c r="A187" s="1124">
        <v>20</v>
      </c>
      <c r="B187" s="1143" t="s">
        <v>670</v>
      </c>
      <c r="C187" s="1126" t="s">
        <v>810</v>
      </c>
      <c r="D187" s="1144" t="s">
        <v>813</v>
      </c>
      <c r="E187" s="1139" t="s">
        <v>762</v>
      </c>
      <c r="F187" s="1124" t="s">
        <v>763</v>
      </c>
      <c r="G187" s="1124" t="s">
        <v>768</v>
      </c>
      <c r="H187" s="691">
        <f>H189+H188+H190+H191</f>
        <v>99783581</v>
      </c>
      <c r="I187" s="691">
        <f>I189+I188+I190+I191</f>
        <v>22488412</v>
      </c>
      <c r="J187" s="1128">
        <f>K187+N187</f>
        <v>15418201</v>
      </c>
      <c r="K187" s="1128">
        <f>L187+M187</f>
        <v>13105471</v>
      </c>
      <c r="L187" s="1129">
        <v>53605</v>
      </c>
      <c r="M187" s="1129">
        <v>13051866</v>
      </c>
      <c r="N187" s="1128">
        <f>O187+R187+U187</f>
        <v>2312730</v>
      </c>
      <c r="O187" s="1128">
        <f>P187+Q187</f>
        <v>0</v>
      </c>
      <c r="P187" s="1129">
        <v>0</v>
      </c>
      <c r="Q187" s="1129">
        <v>0</v>
      </c>
      <c r="R187" s="1128">
        <f>S187+T187</f>
        <v>2312730</v>
      </c>
      <c r="S187" s="1129">
        <v>9459</v>
      </c>
      <c r="T187" s="1129">
        <v>2303271</v>
      </c>
      <c r="U187" s="1128">
        <f>V187+W187</f>
        <v>0</v>
      </c>
      <c r="V187" s="1129">
        <v>0</v>
      </c>
      <c r="W187" s="1129">
        <v>0</v>
      </c>
    </row>
    <row r="188" spans="1:23" s="692" customFormat="1" ht="15.75" hidden="1" customHeight="1">
      <c r="A188" s="1124"/>
      <c r="B188" s="1143"/>
      <c r="C188" s="1126"/>
      <c r="D188" s="1144"/>
      <c r="E188" s="1140"/>
      <c r="F188" s="1124"/>
      <c r="G188" s="1124"/>
      <c r="H188" s="691">
        <v>80288675</v>
      </c>
      <c r="I188" s="691">
        <v>15123751</v>
      </c>
      <c r="J188" s="1128"/>
      <c r="K188" s="1128"/>
      <c r="L188" s="1129"/>
      <c r="M188" s="1129"/>
      <c r="N188" s="1128"/>
      <c r="O188" s="1128"/>
      <c r="P188" s="1129"/>
      <c r="Q188" s="1129"/>
      <c r="R188" s="1128"/>
      <c r="S188" s="1129"/>
      <c r="T188" s="1129"/>
      <c r="U188" s="1128"/>
      <c r="V188" s="1129"/>
      <c r="W188" s="1129"/>
    </row>
    <row r="189" spans="1:23" s="692" customFormat="1" ht="15.75" hidden="1" customHeight="1">
      <c r="A189" s="1124"/>
      <c r="B189" s="1143"/>
      <c r="C189" s="1126"/>
      <c r="D189" s="1144"/>
      <c r="E189" s="1140"/>
      <c r="F189" s="1124"/>
      <c r="G189" s="1124"/>
      <c r="H189" s="691">
        <v>0</v>
      </c>
      <c r="I189" s="691">
        <v>0</v>
      </c>
      <c r="J189" s="693">
        <f>K189+N189</f>
        <v>0</v>
      </c>
      <c r="K189" s="693">
        <f>L189+M189</f>
        <v>0</v>
      </c>
      <c r="L189" s="694">
        <v>0</v>
      </c>
      <c r="M189" s="694">
        <v>0</v>
      </c>
      <c r="N189" s="693">
        <f>O189+R189+U189</f>
        <v>0</v>
      </c>
      <c r="O189" s="693">
        <f>P189+Q189</f>
        <v>0</v>
      </c>
      <c r="P189" s="694">
        <v>0</v>
      </c>
      <c r="Q189" s="694">
        <v>0</v>
      </c>
      <c r="R189" s="693">
        <f>S189+T189</f>
        <v>0</v>
      </c>
      <c r="S189" s="694">
        <v>0</v>
      </c>
      <c r="T189" s="694">
        <v>0</v>
      </c>
      <c r="U189" s="693">
        <f>V189+W189</f>
        <v>0</v>
      </c>
      <c r="V189" s="694">
        <v>0</v>
      </c>
      <c r="W189" s="694">
        <v>0</v>
      </c>
    </row>
    <row r="190" spans="1:23" s="692" customFormat="1" ht="15.75" hidden="1" customHeight="1">
      <c r="A190" s="1124"/>
      <c r="B190" s="1143"/>
      <c r="C190" s="1126"/>
      <c r="D190" s="1144"/>
      <c r="E190" s="1140"/>
      <c r="F190" s="1124"/>
      <c r="G190" s="1124"/>
      <c r="H190" s="691">
        <v>17713662</v>
      </c>
      <c r="I190" s="691">
        <v>6775071</v>
      </c>
      <c r="J190" s="1128">
        <f t="shared" ref="J190:W190" si="34">J187+J189</f>
        <v>15418201</v>
      </c>
      <c r="K190" s="1128">
        <f t="shared" si="34"/>
        <v>13105471</v>
      </c>
      <c r="L190" s="1129">
        <f t="shared" si="34"/>
        <v>53605</v>
      </c>
      <c r="M190" s="1129">
        <f t="shared" si="34"/>
        <v>13051866</v>
      </c>
      <c r="N190" s="1128">
        <f t="shared" si="34"/>
        <v>2312730</v>
      </c>
      <c r="O190" s="1128">
        <f t="shared" si="34"/>
        <v>0</v>
      </c>
      <c r="P190" s="1129">
        <f t="shared" si="34"/>
        <v>0</v>
      </c>
      <c r="Q190" s="1129">
        <f t="shared" si="34"/>
        <v>0</v>
      </c>
      <c r="R190" s="1128">
        <f t="shared" si="34"/>
        <v>2312730</v>
      </c>
      <c r="S190" s="1129">
        <f t="shared" si="34"/>
        <v>9459</v>
      </c>
      <c r="T190" s="1129">
        <f t="shared" si="34"/>
        <v>2303271</v>
      </c>
      <c r="U190" s="1128">
        <f t="shared" si="34"/>
        <v>0</v>
      </c>
      <c r="V190" s="1129">
        <f t="shared" si="34"/>
        <v>0</v>
      </c>
      <c r="W190" s="1129">
        <f t="shared" si="34"/>
        <v>0</v>
      </c>
    </row>
    <row r="191" spans="1:23" s="692" customFormat="1" ht="15.75" hidden="1" customHeight="1">
      <c r="A191" s="1124"/>
      <c r="B191" s="1143"/>
      <c r="C191" s="1126"/>
      <c r="D191" s="1144"/>
      <c r="E191" s="1141"/>
      <c r="F191" s="1124"/>
      <c r="G191" s="1124"/>
      <c r="H191" s="691">
        <v>1781244</v>
      </c>
      <c r="I191" s="691">
        <v>589590</v>
      </c>
      <c r="J191" s="1128"/>
      <c r="K191" s="1128"/>
      <c r="L191" s="1129"/>
      <c r="M191" s="1129"/>
      <c r="N191" s="1128"/>
      <c r="O191" s="1128"/>
      <c r="P191" s="1129"/>
      <c r="Q191" s="1129"/>
      <c r="R191" s="1128"/>
      <c r="S191" s="1129"/>
      <c r="T191" s="1129"/>
      <c r="U191" s="1128"/>
      <c r="V191" s="1129"/>
      <c r="W191" s="1129"/>
    </row>
    <row r="192" spans="1:23" s="692" customFormat="1" ht="15.75" hidden="1" customHeight="1">
      <c r="A192" s="1124">
        <v>21</v>
      </c>
      <c r="B192" s="1125" t="s">
        <v>670</v>
      </c>
      <c r="C192" s="1126" t="s">
        <v>810</v>
      </c>
      <c r="D192" s="1127" t="s">
        <v>814</v>
      </c>
      <c r="E192" s="1139" t="s">
        <v>762</v>
      </c>
      <c r="F192" s="1124" t="s">
        <v>763</v>
      </c>
      <c r="G192" s="1125" t="s">
        <v>776</v>
      </c>
      <c r="H192" s="691">
        <f>H193+H194+H195+H196</f>
        <v>61655450</v>
      </c>
      <c r="I192" s="691">
        <f>I193+I194+I195+I196</f>
        <v>27826980</v>
      </c>
      <c r="J192" s="1128">
        <f>K192+N192</f>
        <v>5020489</v>
      </c>
      <c r="K192" s="1128">
        <f>L192+M192</f>
        <v>3689438</v>
      </c>
      <c r="L192" s="1129">
        <v>52656</v>
      </c>
      <c r="M192" s="1129">
        <v>3636782</v>
      </c>
      <c r="N192" s="1128">
        <f>O192+R192+U192</f>
        <v>1331051</v>
      </c>
      <c r="O192" s="1128">
        <f>P192+Q192</f>
        <v>0</v>
      </c>
      <c r="P192" s="1129">
        <v>0</v>
      </c>
      <c r="Q192" s="1129">
        <v>0</v>
      </c>
      <c r="R192" s="1128">
        <f>S192+T192</f>
        <v>1331051</v>
      </c>
      <c r="S192" s="1129">
        <v>9292</v>
      </c>
      <c r="T192" s="1129">
        <v>1321759</v>
      </c>
      <c r="U192" s="1128">
        <f>V192+W192</f>
        <v>0</v>
      </c>
      <c r="V192" s="1129">
        <v>0</v>
      </c>
      <c r="W192" s="1129">
        <v>0</v>
      </c>
    </row>
    <row r="193" spans="1:23" s="692" customFormat="1" ht="15.75" hidden="1" customHeight="1">
      <c r="A193" s="1124"/>
      <c r="B193" s="1125"/>
      <c r="C193" s="1126"/>
      <c r="D193" s="1127"/>
      <c r="E193" s="1140"/>
      <c r="F193" s="1124"/>
      <c r="G193" s="1125"/>
      <c r="H193" s="691">
        <v>39739609</v>
      </c>
      <c r="I193" s="691">
        <v>17679003</v>
      </c>
      <c r="J193" s="1128"/>
      <c r="K193" s="1128"/>
      <c r="L193" s="1129"/>
      <c r="M193" s="1129"/>
      <c r="N193" s="1128"/>
      <c r="O193" s="1128"/>
      <c r="P193" s="1129"/>
      <c r="Q193" s="1129"/>
      <c r="R193" s="1128"/>
      <c r="S193" s="1129"/>
      <c r="T193" s="1129"/>
      <c r="U193" s="1128"/>
      <c r="V193" s="1129"/>
      <c r="W193" s="1129"/>
    </row>
    <row r="194" spans="1:23" s="692" customFormat="1" ht="15.75" hidden="1" customHeight="1">
      <c r="A194" s="1124"/>
      <c r="B194" s="1125"/>
      <c r="C194" s="1126"/>
      <c r="D194" s="1127"/>
      <c r="E194" s="1140"/>
      <c r="F194" s="1124"/>
      <c r="G194" s="1125"/>
      <c r="H194" s="691">
        <v>0</v>
      </c>
      <c r="I194" s="691">
        <v>0</v>
      </c>
      <c r="J194" s="693">
        <f>K194+N194</f>
        <v>0</v>
      </c>
      <c r="K194" s="693">
        <f>L194+M194</f>
        <v>0</v>
      </c>
      <c r="L194" s="694">
        <v>0</v>
      </c>
      <c r="M194" s="694">
        <v>0</v>
      </c>
      <c r="N194" s="693">
        <f>O194+R194+U194</f>
        <v>0</v>
      </c>
      <c r="O194" s="693">
        <f>P194+Q194</f>
        <v>0</v>
      </c>
      <c r="P194" s="694">
        <v>0</v>
      </c>
      <c r="Q194" s="694">
        <v>0</v>
      </c>
      <c r="R194" s="693">
        <f>S194+T194</f>
        <v>0</v>
      </c>
      <c r="S194" s="694">
        <v>0</v>
      </c>
      <c r="T194" s="694">
        <v>0</v>
      </c>
      <c r="U194" s="693">
        <f>V194+W194</f>
        <v>0</v>
      </c>
      <c r="V194" s="694">
        <v>0</v>
      </c>
      <c r="W194" s="694">
        <v>0</v>
      </c>
    </row>
    <row r="195" spans="1:23" s="692" customFormat="1" ht="15.75" hidden="1" customHeight="1">
      <c r="A195" s="1124"/>
      <c r="B195" s="1125"/>
      <c r="C195" s="1126"/>
      <c r="D195" s="1127"/>
      <c r="E195" s="1140"/>
      <c r="F195" s="1124"/>
      <c r="G195" s="1125"/>
      <c r="H195" s="691">
        <v>21915841</v>
      </c>
      <c r="I195" s="691">
        <v>10147977</v>
      </c>
      <c r="J195" s="1128">
        <f t="shared" ref="J195:W195" si="35">J192+J194</f>
        <v>5020489</v>
      </c>
      <c r="K195" s="1128">
        <f t="shared" si="35"/>
        <v>3689438</v>
      </c>
      <c r="L195" s="1129">
        <f t="shared" si="35"/>
        <v>52656</v>
      </c>
      <c r="M195" s="1129">
        <f t="shared" si="35"/>
        <v>3636782</v>
      </c>
      <c r="N195" s="1128">
        <f t="shared" si="35"/>
        <v>1331051</v>
      </c>
      <c r="O195" s="1128">
        <f t="shared" si="35"/>
        <v>0</v>
      </c>
      <c r="P195" s="1129">
        <f t="shared" si="35"/>
        <v>0</v>
      </c>
      <c r="Q195" s="1129">
        <f t="shared" si="35"/>
        <v>0</v>
      </c>
      <c r="R195" s="1128">
        <f t="shared" si="35"/>
        <v>1331051</v>
      </c>
      <c r="S195" s="1129">
        <f t="shared" si="35"/>
        <v>9292</v>
      </c>
      <c r="T195" s="1129">
        <f t="shared" si="35"/>
        <v>1321759</v>
      </c>
      <c r="U195" s="1128">
        <f t="shared" si="35"/>
        <v>0</v>
      </c>
      <c r="V195" s="1129">
        <f t="shared" si="35"/>
        <v>0</v>
      </c>
      <c r="W195" s="1129">
        <f t="shared" si="35"/>
        <v>0</v>
      </c>
    </row>
    <row r="196" spans="1:23" s="692" customFormat="1" ht="15.75" hidden="1" customHeight="1">
      <c r="A196" s="1124"/>
      <c r="B196" s="1125"/>
      <c r="C196" s="1126"/>
      <c r="D196" s="1127"/>
      <c r="E196" s="1141"/>
      <c r="F196" s="1124"/>
      <c r="G196" s="1125"/>
      <c r="H196" s="691">
        <v>0</v>
      </c>
      <c r="I196" s="691">
        <v>0</v>
      </c>
      <c r="J196" s="1128"/>
      <c r="K196" s="1128"/>
      <c r="L196" s="1129"/>
      <c r="M196" s="1129"/>
      <c r="N196" s="1128"/>
      <c r="O196" s="1128"/>
      <c r="P196" s="1129"/>
      <c r="Q196" s="1129"/>
      <c r="R196" s="1128"/>
      <c r="S196" s="1129"/>
      <c r="T196" s="1129"/>
      <c r="U196" s="1128"/>
      <c r="V196" s="1129"/>
      <c r="W196" s="1129"/>
    </row>
    <row r="197" spans="1:23" s="692" customFormat="1" ht="15.75" hidden="1" customHeight="1">
      <c r="A197" s="1124">
        <v>22</v>
      </c>
      <c r="B197" s="1125" t="s">
        <v>670</v>
      </c>
      <c r="C197" s="1126" t="s">
        <v>810</v>
      </c>
      <c r="D197" s="1127" t="s">
        <v>815</v>
      </c>
      <c r="E197" s="1139" t="s">
        <v>762</v>
      </c>
      <c r="F197" s="1124" t="s">
        <v>763</v>
      </c>
      <c r="G197" s="1125" t="s">
        <v>776</v>
      </c>
      <c r="H197" s="691">
        <f>H198+H199+H200+H201</f>
        <v>17405259</v>
      </c>
      <c r="I197" s="691">
        <f>I198+I199+I200+I201</f>
        <v>2505441</v>
      </c>
      <c r="J197" s="1128">
        <f>K197+N197</f>
        <v>8171023</v>
      </c>
      <c r="K197" s="1128">
        <f>L197+M197</f>
        <v>7651296</v>
      </c>
      <c r="L197" s="1129">
        <v>36858</v>
      </c>
      <c r="M197" s="1129">
        <v>7614438</v>
      </c>
      <c r="N197" s="1128">
        <f>O197+R197+U197</f>
        <v>519727</v>
      </c>
      <c r="O197" s="1128">
        <f>P197+Q197</f>
        <v>207891</v>
      </c>
      <c r="P197" s="1129">
        <v>4914</v>
      </c>
      <c r="Q197" s="1129">
        <v>202977</v>
      </c>
      <c r="R197" s="1128">
        <f>S197+T197</f>
        <v>311836</v>
      </c>
      <c r="S197" s="1129">
        <v>7371</v>
      </c>
      <c r="T197" s="1129">
        <v>304465</v>
      </c>
      <c r="U197" s="1128">
        <f>V197+W197</f>
        <v>0</v>
      </c>
      <c r="V197" s="1129">
        <v>0</v>
      </c>
      <c r="W197" s="1129">
        <v>0</v>
      </c>
    </row>
    <row r="198" spans="1:23" s="692" customFormat="1" ht="15.75" hidden="1" customHeight="1">
      <c r="A198" s="1124"/>
      <c r="B198" s="1125"/>
      <c r="C198" s="1126"/>
      <c r="D198" s="1127"/>
      <c r="E198" s="1140"/>
      <c r="F198" s="1124"/>
      <c r="G198" s="1125"/>
      <c r="H198" s="691">
        <v>13053944</v>
      </c>
      <c r="I198" s="691">
        <v>79812</v>
      </c>
      <c r="J198" s="1128"/>
      <c r="K198" s="1128"/>
      <c r="L198" s="1129"/>
      <c r="M198" s="1129"/>
      <c r="N198" s="1128"/>
      <c r="O198" s="1128"/>
      <c r="P198" s="1129"/>
      <c r="Q198" s="1129"/>
      <c r="R198" s="1128"/>
      <c r="S198" s="1129"/>
      <c r="T198" s="1129"/>
      <c r="U198" s="1128"/>
      <c r="V198" s="1129"/>
      <c r="W198" s="1129"/>
    </row>
    <row r="199" spans="1:23" s="692" customFormat="1" ht="15.75" hidden="1" customHeight="1">
      <c r="A199" s="1124"/>
      <c r="B199" s="1125"/>
      <c r="C199" s="1126"/>
      <c r="D199" s="1127"/>
      <c r="E199" s="1140"/>
      <c r="F199" s="1124"/>
      <c r="G199" s="1125"/>
      <c r="H199" s="691">
        <v>1740526</v>
      </c>
      <c r="I199" s="691">
        <v>822425</v>
      </c>
      <c r="J199" s="693">
        <f>K199+N199</f>
        <v>0</v>
      </c>
      <c r="K199" s="693">
        <f>L199+M199</f>
        <v>0</v>
      </c>
      <c r="L199" s="694">
        <v>0</v>
      </c>
      <c r="M199" s="694">
        <v>0</v>
      </c>
      <c r="N199" s="693">
        <f>O199+R199+U199</f>
        <v>0</v>
      </c>
      <c r="O199" s="693">
        <f>P199+Q199</f>
        <v>0</v>
      </c>
      <c r="P199" s="694">
        <v>0</v>
      </c>
      <c r="Q199" s="694">
        <v>0</v>
      </c>
      <c r="R199" s="693">
        <f>S199+T199</f>
        <v>0</v>
      </c>
      <c r="S199" s="694">
        <v>0</v>
      </c>
      <c r="T199" s="694">
        <v>0</v>
      </c>
      <c r="U199" s="693">
        <f>V199+W199</f>
        <v>0</v>
      </c>
      <c r="V199" s="694">
        <v>0</v>
      </c>
      <c r="W199" s="694">
        <v>0</v>
      </c>
    </row>
    <row r="200" spans="1:23" s="692" customFormat="1" ht="15.75" hidden="1" customHeight="1">
      <c r="A200" s="1124"/>
      <c r="B200" s="1125"/>
      <c r="C200" s="1126"/>
      <c r="D200" s="1127"/>
      <c r="E200" s="1140"/>
      <c r="F200" s="1124"/>
      <c r="G200" s="1125"/>
      <c r="H200" s="691">
        <v>2610789</v>
      </c>
      <c r="I200" s="691">
        <v>1603204</v>
      </c>
      <c r="J200" s="1128">
        <f t="shared" ref="J200:W200" si="36">J197+J199</f>
        <v>8171023</v>
      </c>
      <c r="K200" s="1128">
        <f t="shared" si="36"/>
        <v>7651296</v>
      </c>
      <c r="L200" s="1129">
        <f t="shared" si="36"/>
        <v>36858</v>
      </c>
      <c r="M200" s="1129">
        <f t="shared" si="36"/>
        <v>7614438</v>
      </c>
      <c r="N200" s="1128">
        <f t="shared" si="36"/>
        <v>519727</v>
      </c>
      <c r="O200" s="1128">
        <f t="shared" si="36"/>
        <v>207891</v>
      </c>
      <c r="P200" s="1129">
        <f t="shared" si="36"/>
        <v>4914</v>
      </c>
      <c r="Q200" s="1129">
        <f t="shared" si="36"/>
        <v>202977</v>
      </c>
      <c r="R200" s="1128">
        <f t="shared" si="36"/>
        <v>311836</v>
      </c>
      <c r="S200" s="1129">
        <f t="shared" si="36"/>
        <v>7371</v>
      </c>
      <c r="T200" s="1129">
        <f t="shared" si="36"/>
        <v>304465</v>
      </c>
      <c r="U200" s="1128">
        <f t="shared" si="36"/>
        <v>0</v>
      </c>
      <c r="V200" s="1129">
        <f t="shared" si="36"/>
        <v>0</v>
      </c>
      <c r="W200" s="1129">
        <f t="shared" si="36"/>
        <v>0</v>
      </c>
    </row>
    <row r="201" spans="1:23" s="692" customFormat="1" ht="15.75" hidden="1" customHeight="1">
      <c r="A201" s="1124"/>
      <c r="B201" s="1125"/>
      <c r="C201" s="1126"/>
      <c r="D201" s="1127"/>
      <c r="E201" s="1141"/>
      <c r="F201" s="1124"/>
      <c r="G201" s="1125"/>
      <c r="H201" s="691">
        <v>0</v>
      </c>
      <c r="I201" s="691">
        <v>0</v>
      </c>
      <c r="J201" s="1128"/>
      <c r="K201" s="1128"/>
      <c r="L201" s="1129"/>
      <c r="M201" s="1129"/>
      <c r="N201" s="1128"/>
      <c r="O201" s="1128"/>
      <c r="P201" s="1129"/>
      <c r="Q201" s="1129"/>
      <c r="R201" s="1128"/>
      <c r="S201" s="1129"/>
      <c r="T201" s="1129"/>
      <c r="U201" s="1128"/>
      <c r="V201" s="1129"/>
      <c r="W201" s="1129"/>
    </row>
    <row r="202" spans="1:23" s="692" customFormat="1" ht="15.75" hidden="1" customHeight="1">
      <c r="A202" s="1124">
        <v>15</v>
      </c>
      <c r="B202" s="1125" t="s">
        <v>670</v>
      </c>
      <c r="C202" s="1126" t="s">
        <v>810</v>
      </c>
      <c r="D202" s="1127" t="s">
        <v>816</v>
      </c>
      <c r="E202" s="1139" t="s">
        <v>762</v>
      </c>
      <c r="F202" s="1124" t="s">
        <v>763</v>
      </c>
      <c r="G202" s="1125" t="s">
        <v>776</v>
      </c>
      <c r="H202" s="691">
        <f>H203+H204+H205+H206</f>
        <v>0</v>
      </c>
      <c r="I202" s="691">
        <f>I203+I204+I205+I206</f>
        <v>0</v>
      </c>
      <c r="J202" s="1128">
        <f>K202+N202</f>
        <v>0</v>
      </c>
      <c r="K202" s="1128">
        <f>L202+M202</f>
        <v>0</v>
      </c>
      <c r="L202" s="1129">
        <v>0</v>
      </c>
      <c r="M202" s="1129">
        <v>0</v>
      </c>
      <c r="N202" s="1128">
        <f>O202+R202+U202</f>
        <v>0</v>
      </c>
      <c r="O202" s="1128">
        <f>P202+Q202</f>
        <v>0</v>
      </c>
      <c r="P202" s="1129">
        <v>0</v>
      </c>
      <c r="Q202" s="1129">
        <v>0</v>
      </c>
      <c r="R202" s="1128">
        <f>S202+T202</f>
        <v>0</v>
      </c>
      <c r="S202" s="1129">
        <v>0</v>
      </c>
      <c r="T202" s="1129">
        <v>0</v>
      </c>
      <c r="U202" s="1128">
        <f>V202+W202</f>
        <v>0</v>
      </c>
      <c r="V202" s="1129">
        <v>0</v>
      </c>
      <c r="W202" s="1129">
        <v>0</v>
      </c>
    </row>
    <row r="203" spans="1:23" s="692" customFormat="1" ht="15.75" hidden="1" customHeight="1">
      <c r="A203" s="1124"/>
      <c r="B203" s="1125"/>
      <c r="C203" s="1126"/>
      <c r="D203" s="1127"/>
      <c r="E203" s="1140"/>
      <c r="F203" s="1124"/>
      <c r="G203" s="1125"/>
      <c r="H203" s="691">
        <v>0</v>
      </c>
      <c r="I203" s="691">
        <v>0</v>
      </c>
      <c r="J203" s="1128"/>
      <c r="K203" s="1128"/>
      <c r="L203" s="1129"/>
      <c r="M203" s="1129"/>
      <c r="N203" s="1128"/>
      <c r="O203" s="1128"/>
      <c r="P203" s="1129"/>
      <c r="Q203" s="1129"/>
      <c r="R203" s="1128"/>
      <c r="S203" s="1129"/>
      <c r="T203" s="1129"/>
      <c r="U203" s="1128"/>
      <c r="V203" s="1129"/>
      <c r="W203" s="1129"/>
    </row>
    <row r="204" spans="1:23" s="692" customFormat="1" ht="15.75" hidden="1" customHeight="1">
      <c r="A204" s="1124"/>
      <c r="B204" s="1125"/>
      <c r="C204" s="1126"/>
      <c r="D204" s="1127"/>
      <c r="E204" s="1140"/>
      <c r="F204" s="1124"/>
      <c r="G204" s="1125"/>
      <c r="H204" s="691">
        <v>0</v>
      </c>
      <c r="I204" s="691">
        <v>0</v>
      </c>
      <c r="J204" s="693">
        <f>K204+N204</f>
        <v>0</v>
      </c>
      <c r="K204" s="693">
        <f>L204+M204</f>
        <v>0</v>
      </c>
      <c r="L204" s="694">
        <v>0</v>
      </c>
      <c r="M204" s="694">
        <v>0</v>
      </c>
      <c r="N204" s="693">
        <f>O204+R204+U204</f>
        <v>0</v>
      </c>
      <c r="O204" s="693">
        <f>P204+Q204</f>
        <v>0</v>
      </c>
      <c r="P204" s="694">
        <v>0</v>
      </c>
      <c r="Q204" s="694">
        <v>0</v>
      </c>
      <c r="R204" s="693">
        <f>S204+T204</f>
        <v>0</v>
      </c>
      <c r="S204" s="694">
        <v>0</v>
      </c>
      <c r="T204" s="694">
        <v>0</v>
      </c>
      <c r="U204" s="693">
        <f>V204+W204</f>
        <v>0</v>
      </c>
      <c r="V204" s="694">
        <v>0</v>
      </c>
      <c r="W204" s="694">
        <v>0</v>
      </c>
    </row>
    <row r="205" spans="1:23" s="692" customFormat="1" ht="15.75" hidden="1" customHeight="1">
      <c r="A205" s="1124"/>
      <c r="B205" s="1125"/>
      <c r="C205" s="1126"/>
      <c r="D205" s="1127"/>
      <c r="E205" s="1140"/>
      <c r="F205" s="1124"/>
      <c r="G205" s="1125"/>
      <c r="H205" s="691">
        <v>0</v>
      </c>
      <c r="I205" s="691">
        <v>0</v>
      </c>
      <c r="J205" s="1128">
        <f t="shared" ref="J205:W205" si="37">J202+J204</f>
        <v>0</v>
      </c>
      <c r="K205" s="1128">
        <f t="shared" si="37"/>
        <v>0</v>
      </c>
      <c r="L205" s="1129">
        <f t="shared" si="37"/>
        <v>0</v>
      </c>
      <c r="M205" s="1129">
        <f t="shared" si="37"/>
        <v>0</v>
      </c>
      <c r="N205" s="1128">
        <f t="shared" si="37"/>
        <v>0</v>
      </c>
      <c r="O205" s="1128">
        <f t="shared" si="37"/>
        <v>0</v>
      </c>
      <c r="P205" s="1129">
        <f t="shared" si="37"/>
        <v>0</v>
      </c>
      <c r="Q205" s="1129">
        <f t="shared" si="37"/>
        <v>0</v>
      </c>
      <c r="R205" s="1128">
        <f t="shared" si="37"/>
        <v>0</v>
      </c>
      <c r="S205" s="1129">
        <f t="shared" si="37"/>
        <v>0</v>
      </c>
      <c r="T205" s="1129">
        <f t="shared" si="37"/>
        <v>0</v>
      </c>
      <c r="U205" s="1128">
        <f t="shared" si="37"/>
        <v>0</v>
      </c>
      <c r="V205" s="1129">
        <f t="shared" si="37"/>
        <v>0</v>
      </c>
      <c r="W205" s="1129">
        <f t="shared" si="37"/>
        <v>0</v>
      </c>
    </row>
    <row r="206" spans="1:23" s="692" customFormat="1" ht="15.75" hidden="1" customHeight="1">
      <c r="A206" s="1124"/>
      <c r="B206" s="1125"/>
      <c r="C206" s="1126"/>
      <c r="D206" s="1127"/>
      <c r="E206" s="1141"/>
      <c r="F206" s="1124"/>
      <c r="G206" s="1125"/>
      <c r="H206" s="691">
        <v>0</v>
      </c>
      <c r="I206" s="691">
        <v>0</v>
      </c>
      <c r="J206" s="1128"/>
      <c r="K206" s="1128"/>
      <c r="L206" s="1129"/>
      <c r="M206" s="1129"/>
      <c r="N206" s="1128"/>
      <c r="O206" s="1128"/>
      <c r="P206" s="1129"/>
      <c r="Q206" s="1129"/>
      <c r="R206" s="1128"/>
      <c r="S206" s="1129"/>
      <c r="T206" s="1129"/>
      <c r="U206" s="1128"/>
      <c r="V206" s="1129"/>
      <c r="W206" s="1129"/>
    </row>
    <row r="207" spans="1:23" s="692" customFormat="1" ht="15.75" hidden="1" customHeight="1">
      <c r="A207" s="1124">
        <v>23</v>
      </c>
      <c r="B207" s="1125" t="s">
        <v>670</v>
      </c>
      <c r="C207" s="1126" t="s">
        <v>810</v>
      </c>
      <c r="D207" s="1127" t="s">
        <v>817</v>
      </c>
      <c r="E207" s="1139" t="s">
        <v>762</v>
      </c>
      <c r="F207" s="1124" t="s">
        <v>763</v>
      </c>
      <c r="G207" s="1125" t="s">
        <v>818</v>
      </c>
      <c r="H207" s="691">
        <f>H208+H209+H210+H211</f>
        <v>65000000</v>
      </c>
      <c r="I207" s="691">
        <f>I208+I209+I210+I211</f>
        <v>125795</v>
      </c>
      <c r="J207" s="1128">
        <f>K207+N207</f>
        <v>0</v>
      </c>
      <c r="K207" s="1128">
        <f>L207+M207</f>
        <v>0</v>
      </c>
      <c r="L207" s="1129">
        <v>0</v>
      </c>
      <c r="M207" s="1129">
        <v>0</v>
      </c>
      <c r="N207" s="1128">
        <f>O207+R207+U207</f>
        <v>0</v>
      </c>
      <c r="O207" s="1128">
        <f>P207+Q207</f>
        <v>0</v>
      </c>
      <c r="P207" s="1129">
        <v>0</v>
      </c>
      <c r="Q207" s="1129">
        <v>0</v>
      </c>
      <c r="R207" s="1128">
        <f>S207+T207</f>
        <v>0</v>
      </c>
      <c r="S207" s="1129">
        <v>0</v>
      </c>
      <c r="T207" s="1129">
        <v>0</v>
      </c>
      <c r="U207" s="1128">
        <f>V207+W207</f>
        <v>0</v>
      </c>
      <c r="V207" s="1129">
        <v>0</v>
      </c>
      <c r="W207" s="1129">
        <v>0</v>
      </c>
    </row>
    <row r="208" spans="1:23" s="692" customFormat="1" ht="15.75" hidden="1" customHeight="1">
      <c r="A208" s="1124"/>
      <c r="B208" s="1125"/>
      <c r="C208" s="1126"/>
      <c r="D208" s="1127"/>
      <c r="E208" s="1140"/>
      <c r="F208" s="1124"/>
      <c r="G208" s="1125"/>
      <c r="H208" s="691">
        <v>55250000</v>
      </c>
      <c r="I208" s="691">
        <v>0</v>
      </c>
      <c r="J208" s="1128"/>
      <c r="K208" s="1128"/>
      <c r="L208" s="1129"/>
      <c r="M208" s="1129"/>
      <c r="N208" s="1128"/>
      <c r="O208" s="1128"/>
      <c r="P208" s="1129"/>
      <c r="Q208" s="1129"/>
      <c r="R208" s="1128"/>
      <c r="S208" s="1129"/>
      <c r="T208" s="1129"/>
      <c r="U208" s="1128"/>
      <c r="V208" s="1129"/>
      <c r="W208" s="1129"/>
    </row>
    <row r="209" spans="1:23" s="692" customFormat="1" ht="15.75" hidden="1" customHeight="1">
      <c r="A209" s="1124"/>
      <c r="B209" s="1125"/>
      <c r="C209" s="1126"/>
      <c r="D209" s="1127"/>
      <c r="E209" s="1140"/>
      <c r="F209" s="1124"/>
      <c r="G209" s="1125"/>
      <c r="H209" s="691">
        <v>6500000</v>
      </c>
      <c r="I209" s="691">
        <v>0</v>
      </c>
      <c r="J209" s="693">
        <f>K209+N209</f>
        <v>0</v>
      </c>
      <c r="K209" s="693">
        <f>L209+M209</f>
        <v>0</v>
      </c>
      <c r="L209" s="694">
        <v>0</v>
      </c>
      <c r="M209" s="694">
        <v>0</v>
      </c>
      <c r="N209" s="693">
        <f>O209+R209+U209</f>
        <v>0</v>
      </c>
      <c r="O209" s="693">
        <f>P209+Q209</f>
        <v>0</v>
      </c>
      <c r="P209" s="694">
        <v>0</v>
      </c>
      <c r="Q209" s="694">
        <v>0</v>
      </c>
      <c r="R209" s="693">
        <f>S209+T209</f>
        <v>0</v>
      </c>
      <c r="S209" s="694">
        <v>0</v>
      </c>
      <c r="T209" s="694">
        <v>0</v>
      </c>
      <c r="U209" s="693">
        <f>V209+W209</f>
        <v>0</v>
      </c>
      <c r="V209" s="694">
        <v>0</v>
      </c>
      <c r="W209" s="694">
        <v>0</v>
      </c>
    </row>
    <row r="210" spans="1:23" s="692" customFormat="1" ht="15.75" hidden="1" customHeight="1">
      <c r="A210" s="1124"/>
      <c r="B210" s="1125"/>
      <c r="C210" s="1126"/>
      <c r="D210" s="1127"/>
      <c r="E210" s="1140"/>
      <c r="F210" s="1124"/>
      <c r="G210" s="1125"/>
      <c r="H210" s="691">
        <v>3250000</v>
      </c>
      <c r="I210" s="691">
        <v>125795</v>
      </c>
      <c r="J210" s="1128">
        <f t="shared" ref="J210:W210" si="38">J207+J209</f>
        <v>0</v>
      </c>
      <c r="K210" s="1128">
        <f t="shared" si="38"/>
        <v>0</v>
      </c>
      <c r="L210" s="1129">
        <f t="shared" si="38"/>
        <v>0</v>
      </c>
      <c r="M210" s="1129">
        <f t="shared" si="38"/>
        <v>0</v>
      </c>
      <c r="N210" s="1128">
        <f t="shared" si="38"/>
        <v>0</v>
      </c>
      <c r="O210" s="1128">
        <f t="shared" si="38"/>
        <v>0</v>
      </c>
      <c r="P210" s="1129">
        <f t="shared" si="38"/>
        <v>0</v>
      </c>
      <c r="Q210" s="1129">
        <f t="shared" si="38"/>
        <v>0</v>
      </c>
      <c r="R210" s="1128">
        <f t="shared" si="38"/>
        <v>0</v>
      </c>
      <c r="S210" s="1129">
        <f t="shared" si="38"/>
        <v>0</v>
      </c>
      <c r="T210" s="1129">
        <f t="shared" si="38"/>
        <v>0</v>
      </c>
      <c r="U210" s="1128">
        <f t="shared" si="38"/>
        <v>0</v>
      </c>
      <c r="V210" s="1129">
        <f t="shared" si="38"/>
        <v>0</v>
      </c>
      <c r="W210" s="1129">
        <f t="shared" si="38"/>
        <v>0</v>
      </c>
    </row>
    <row r="211" spans="1:23" s="692" customFormat="1" ht="15.75" hidden="1" customHeight="1">
      <c r="A211" s="1124"/>
      <c r="B211" s="1125"/>
      <c r="C211" s="1126"/>
      <c r="D211" s="1127"/>
      <c r="E211" s="1141"/>
      <c r="F211" s="1124"/>
      <c r="G211" s="1125"/>
      <c r="H211" s="691">
        <v>0</v>
      </c>
      <c r="I211" s="691">
        <v>0</v>
      </c>
      <c r="J211" s="1128"/>
      <c r="K211" s="1128"/>
      <c r="L211" s="1129"/>
      <c r="M211" s="1129"/>
      <c r="N211" s="1128"/>
      <c r="O211" s="1128"/>
      <c r="P211" s="1129"/>
      <c r="Q211" s="1129"/>
      <c r="R211" s="1128"/>
      <c r="S211" s="1129"/>
      <c r="T211" s="1129"/>
      <c r="U211" s="1128"/>
      <c r="V211" s="1129"/>
      <c r="W211" s="1129"/>
    </row>
    <row r="212" spans="1:23" s="692" customFormat="1" ht="15.75" hidden="1" customHeight="1">
      <c r="A212" s="1124">
        <v>24</v>
      </c>
      <c r="B212" s="1125" t="s">
        <v>670</v>
      </c>
      <c r="C212" s="1126" t="s">
        <v>810</v>
      </c>
      <c r="D212" s="1127" t="s">
        <v>819</v>
      </c>
      <c r="E212" s="1139" t="s">
        <v>762</v>
      </c>
      <c r="F212" s="1124" t="s">
        <v>763</v>
      </c>
      <c r="G212" s="1125" t="s">
        <v>774</v>
      </c>
      <c r="H212" s="691">
        <f>H213+H214+H215+H216</f>
        <v>53698714</v>
      </c>
      <c r="I212" s="691">
        <f>I213+I214+I215+I216</f>
        <v>130741</v>
      </c>
      <c r="J212" s="1128">
        <f>K212+N212</f>
        <v>0</v>
      </c>
      <c r="K212" s="1128">
        <f>L212+M212</f>
        <v>0</v>
      </c>
      <c r="L212" s="1129">
        <v>0</v>
      </c>
      <c r="M212" s="1129">
        <v>0</v>
      </c>
      <c r="N212" s="1128">
        <f>O212+R212+U212</f>
        <v>0</v>
      </c>
      <c r="O212" s="1128">
        <f>P212+Q212</f>
        <v>0</v>
      </c>
      <c r="P212" s="1129">
        <v>0</v>
      </c>
      <c r="Q212" s="1129">
        <v>0</v>
      </c>
      <c r="R212" s="1128">
        <f>S212+T212</f>
        <v>0</v>
      </c>
      <c r="S212" s="1129">
        <v>0</v>
      </c>
      <c r="T212" s="1129">
        <v>0</v>
      </c>
      <c r="U212" s="1128">
        <f>V212+W212</f>
        <v>0</v>
      </c>
      <c r="V212" s="1129">
        <v>0</v>
      </c>
      <c r="W212" s="1129">
        <v>0</v>
      </c>
    </row>
    <row r="213" spans="1:23" s="692" customFormat="1" ht="15.75" hidden="1" customHeight="1">
      <c r="A213" s="1124"/>
      <c r="B213" s="1125"/>
      <c r="C213" s="1126"/>
      <c r="D213" s="1127"/>
      <c r="E213" s="1140"/>
      <c r="F213" s="1124"/>
      <c r="G213" s="1125"/>
      <c r="H213" s="691">
        <v>39012394</v>
      </c>
      <c r="I213" s="691">
        <v>0</v>
      </c>
      <c r="J213" s="1128"/>
      <c r="K213" s="1128"/>
      <c r="L213" s="1129"/>
      <c r="M213" s="1129"/>
      <c r="N213" s="1128"/>
      <c r="O213" s="1128"/>
      <c r="P213" s="1129"/>
      <c r="Q213" s="1129"/>
      <c r="R213" s="1128"/>
      <c r="S213" s="1129"/>
      <c r="T213" s="1129"/>
      <c r="U213" s="1128"/>
      <c r="V213" s="1129"/>
      <c r="W213" s="1129"/>
    </row>
    <row r="214" spans="1:23" s="692" customFormat="1" ht="15.75" hidden="1" customHeight="1">
      <c r="A214" s="1124"/>
      <c r="B214" s="1125"/>
      <c r="C214" s="1126"/>
      <c r="D214" s="1127"/>
      <c r="E214" s="1140"/>
      <c r="F214" s="1124"/>
      <c r="G214" s="1125"/>
      <c r="H214" s="691">
        <v>4589693</v>
      </c>
      <c r="I214" s="691">
        <v>0</v>
      </c>
      <c r="J214" s="693">
        <f>K214+N214</f>
        <v>0</v>
      </c>
      <c r="K214" s="693">
        <f>L214+M214</f>
        <v>0</v>
      </c>
      <c r="L214" s="694">
        <v>0</v>
      </c>
      <c r="M214" s="694">
        <v>0</v>
      </c>
      <c r="N214" s="693">
        <f>O214+R214+U214</f>
        <v>0</v>
      </c>
      <c r="O214" s="693">
        <f>P214+Q214</f>
        <v>0</v>
      </c>
      <c r="P214" s="694">
        <v>0</v>
      </c>
      <c r="Q214" s="694">
        <v>0</v>
      </c>
      <c r="R214" s="693">
        <f>S214+T214</f>
        <v>0</v>
      </c>
      <c r="S214" s="694">
        <v>0</v>
      </c>
      <c r="T214" s="694">
        <v>0</v>
      </c>
      <c r="U214" s="693">
        <f>V214+W214</f>
        <v>0</v>
      </c>
      <c r="V214" s="694">
        <v>0</v>
      </c>
      <c r="W214" s="694">
        <v>0</v>
      </c>
    </row>
    <row r="215" spans="1:23" s="692" customFormat="1" ht="15.75" hidden="1" customHeight="1">
      <c r="A215" s="1124"/>
      <c r="B215" s="1125"/>
      <c r="C215" s="1126"/>
      <c r="D215" s="1127"/>
      <c r="E215" s="1140"/>
      <c r="F215" s="1124"/>
      <c r="G215" s="1125"/>
      <c r="H215" s="691">
        <v>10096627</v>
      </c>
      <c r="I215" s="691">
        <v>130741</v>
      </c>
      <c r="J215" s="1128">
        <f t="shared" ref="J215:W215" si="39">J212+J214</f>
        <v>0</v>
      </c>
      <c r="K215" s="1128">
        <f t="shared" si="39"/>
        <v>0</v>
      </c>
      <c r="L215" s="1129">
        <f t="shared" si="39"/>
        <v>0</v>
      </c>
      <c r="M215" s="1129">
        <f t="shared" si="39"/>
        <v>0</v>
      </c>
      <c r="N215" s="1128">
        <f t="shared" si="39"/>
        <v>0</v>
      </c>
      <c r="O215" s="1128">
        <f t="shared" si="39"/>
        <v>0</v>
      </c>
      <c r="P215" s="1129">
        <f t="shared" si="39"/>
        <v>0</v>
      </c>
      <c r="Q215" s="1129">
        <f t="shared" si="39"/>
        <v>0</v>
      </c>
      <c r="R215" s="1128">
        <f t="shared" si="39"/>
        <v>0</v>
      </c>
      <c r="S215" s="1129">
        <f t="shared" si="39"/>
        <v>0</v>
      </c>
      <c r="T215" s="1129">
        <f t="shared" si="39"/>
        <v>0</v>
      </c>
      <c r="U215" s="1128">
        <f t="shared" si="39"/>
        <v>0</v>
      </c>
      <c r="V215" s="1129">
        <f t="shared" si="39"/>
        <v>0</v>
      </c>
      <c r="W215" s="1129">
        <f t="shared" si="39"/>
        <v>0</v>
      </c>
    </row>
    <row r="216" spans="1:23" s="692" customFormat="1" ht="15.75" hidden="1" customHeight="1">
      <c r="A216" s="1124"/>
      <c r="B216" s="1125"/>
      <c r="C216" s="1126"/>
      <c r="D216" s="1127"/>
      <c r="E216" s="1141"/>
      <c r="F216" s="1124"/>
      <c r="G216" s="1125"/>
      <c r="H216" s="691">
        <v>0</v>
      </c>
      <c r="I216" s="691">
        <v>0</v>
      </c>
      <c r="J216" s="1128"/>
      <c r="K216" s="1128"/>
      <c r="L216" s="1129"/>
      <c r="M216" s="1129"/>
      <c r="N216" s="1128"/>
      <c r="O216" s="1128"/>
      <c r="P216" s="1129"/>
      <c r="Q216" s="1129"/>
      <c r="R216" s="1128"/>
      <c r="S216" s="1129"/>
      <c r="T216" s="1129"/>
      <c r="U216" s="1128"/>
      <c r="V216" s="1129"/>
      <c r="W216" s="1129"/>
    </row>
    <row r="217" spans="1:23" s="692" customFormat="1" ht="16.5" customHeight="1">
      <c r="A217" s="1124">
        <v>6</v>
      </c>
      <c r="B217" s="1125" t="s">
        <v>670</v>
      </c>
      <c r="C217" s="1126" t="s">
        <v>810</v>
      </c>
      <c r="D217" s="1127" t="s">
        <v>820</v>
      </c>
      <c r="E217" s="1139" t="s">
        <v>762</v>
      </c>
      <c r="F217" s="1124" t="s">
        <v>763</v>
      </c>
      <c r="G217" s="1125" t="s">
        <v>776</v>
      </c>
      <c r="H217" s="691">
        <f>H218+H219+H220+H221</f>
        <v>20905199</v>
      </c>
      <c r="I217" s="691">
        <f>I218+I219+I220+I221</f>
        <v>2355532</v>
      </c>
      <c r="J217" s="1128">
        <f>K217+N217</f>
        <v>4002110</v>
      </c>
      <c r="K217" s="1128">
        <f>L217+M217</f>
        <v>3405308</v>
      </c>
      <c r="L217" s="1129">
        <v>40031</v>
      </c>
      <c r="M217" s="1129">
        <v>3365277</v>
      </c>
      <c r="N217" s="1128">
        <f>O217+R217+U217</f>
        <v>596802</v>
      </c>
      <c r="O217" s="1128">
        <f>P217+Q217</f>
        <v>0</v>
      </c>
      <c r="P217" s="1129">
        <v>0</v>
      </c>
      <c r="Q217" s="1129">
        <v>0</v>
      </c>
      <c r="R217" s="1128">
        <f>S217+T217</f>
        <v>299865</v>
      </c>
      <c r="S217" s="1129">
        <v>7065</v>
      </c>
      <c r="T217" s="1129">
        <v>292800</v>
      </c>
      <c r="U217" s="1128">
        <f>V217+W217</f>
        <v>296937</v>
      </c>
      <c r="V217" s="1129">
        <v>0</v>
      </c>
      <c r="W217" s="1129">
        <v>296937</v>
      </c>
    </row>
    <row r="218" spans="1:23" s="692" customFormat="1" ht="16.5" customHeight="1">
      <c r="A218" s="1124"/>
      <c r="B218" s="1125"/>
      <c r="C218" s="1126"/>
      <c r="D218" s="1127"/>
      <c r="E218" s="1140"/>
      <c r="F218" s="1124"/>
      <c r="G218" s="1125"/>
      <c r="H218" s="691">
        <v>15751934</v>
      </c>
      <c r="I218" s="691">
        <v>1110216</v>
      </c>
      <c r="J218" s="1128"/>
      <c r="K218" s="1128"/>
      <c r="L218" s="1129"/>
      <c r="M218" s="1129"/>
      <c r="N218" s="1128"/>
      <c r="O218" s="1128"/>
      <c r="P218" s="1129"/>
      <c r="Q218" s="1129"/>
      <c r="R218" s="1128"/>
      <c r="S218" s="1129"/>
      <c r="T218" s="1129"/>
      <c r="U218" s="1128"/>
      <c r="V218" s="1129"/>
      <c r="W218" s="1129"/>
    </row>
    <row r="219" spans="1:23" s="692" customFormat="1" ht="16.5" customHeight="1">
      <c r="A219" s="1124"/>
      <c r="B219" s="1125"/>
      <c r="C219" s="1126"/>
      <c r="D219" s="1127"/>
      <c r="E219" s="1140"/>
      <c r="F219" s="1124"/>
      <c r="G219" s="1125"/>
      <c r="H219" s="691">
        <v>0</v>
      </c>
      <c r="I219" s="691">
        <v>0</v>
      </c>
      <c r="J219" s="693">
        <f>K219+N219</f>
        <v>-816000</v>
      </c>
      <c r="K219" s="693">
        <f>L219+M219</f>
        <v>-816000</v>
      </c>
      <c r="L219" s="694">
        <v>0</v>
      </c>
      <c r="M219" s="694">
        <v>-816000</v>
      </c>
      <c r="N219" s="693">
        <f>O219+R219+U219</f>
        <v>0</v>
      </c>
      <c r="O219" s="693">
        <f>P219+Q219</f>
        <v>0</v>
      </c>
      <c r="P219" s="694">
        <v>0</v>
      </c>
      <c r="Q219" s="694">
        <v>0</v>
      </c>
      <c r="R219" s="693">
        <f>S219+T219</f>
        <v>0</v>
      </c>
      <c r="S219" s="694">
        <v>0</v>
      </c>
      <c r="T219" s="694">
        <v>0</v>
      </c>
      <c r="U219" s="693">
        <f>V219+W219</f>
        <v>0</v>
      </c>
      <c r="V219" s="694">
        <v>0</v>
      </c>
      <c r="W219" s="694">
        <v>0</v>
      </c>
    </row>
    <row r="220" spans="1:23" s="692" customFormat="1" ht="16.5" customHeight="1">
      <c r="A220" s="1124"/>
      <c r="B220" s="1125"/>
      <c r="C220" s="1126"/>
      <c r="D220" s="1127"/>
      <c r="E220" s="1140"/>
      <c r="F220" s="1124"/>
      <c r="G220" s="1125"/>
      <c r="H220" s="691">
        <v>3681615</v>
      </c>
      <c r="I220" s="691">
        <v>1183384</v>
      </c>
      <c r="J220" s="1128">
        <f t="shared" ref="J220:W220" si="40">J217+J219</f>
        <v>3186110</v>
      </c>
      <c r="K220" s="1128">
        <f t="shared" si="40"/>
        <v>2589308</v>
      </c>
      <c r="L220" s="1129">
        <f t="shared" si="40"/>
        <v>40031</v>
      </c>
      <c r="M220" s="1129">
        <f t="shared" si="40"/>
        <v>2549277</v>
      </c>
      <c r="N220" s="1128">
        <f t="shared" si="40"/>
        <v>596802</v>
      </c>
      <c r="O220" s="1128">
        <f t="shared" si="40"/>
        <v>0</v>
      </c>
      <c r="P220" s="1129">
        <f t="shared" si="40"/>
        <v>0</v>
      </c>
      <c r="Q220" s="1129">
        <f t="shared" si="40"/>
        <v>0</v>
      </c>
      <c r="R220" s="1128">
        <f t="shared" si="40"/>
        <v>299865</v>
      </c>
      <c r="S220" s="1129">
        <f t="shared" si="40"/>
        <v>7065</v>
      </c>
      <c r="T220" s="1129">
        <f t="shared" si="40"/>
        <v>292800</v>
      </c>
      <c r="U220" s="1128">
        <f t="shared" si="40"/>
        <v>296937</v>
      </c>
      <c r="V220" s="1129">
        <f t="shared" si="40"/>
        <v>0</v>
      </c>
      <c r="W220" s="1129">
        <f t="shared" si="40"/>
        <v>296937</v>
      </c>
    </row>
    <row r="221" spans="1:23" s="692" customFormat="1" ht="16.5" customHeight="1">
      <c r="A221" s="1124"/>
      <c r="B221" s="1125"/>
      <c r="C221" s="1126"/>
      <c r="D221" s="1127"/>
      <c r="E221" s="1141"/>
      <c r="F221" s="1124"/>
      <c r="G221" s="1125"/>
      <c r="H221" s="691">
        <v>1471650</v>
      </c>
      <c r="I221" s="691">
        <v>61932</v>
      </c>
      <c r="J221" s="1128"/>
      <c r="K221" s="1128"/>
      <c r="L221" s="1129"/>
      <c r="M221" s="1129"/>
      <c r="N221" s="1128"/>
      <c r="O221" s="1128"/>
      <c r="P221" s="1129"/>
      <c r="Q221" s="1129"/>
      <c r="R221" s="1128"/>
      <c r="S221" s="1129"/>
      <c r="T221" s="1129"/>
      <c r="U221" s="1128"/>
      <c r="V221" s="1129"/>
      <c r="W221" s="1129"/>
    </row>
    <row r="222" spans="1:23" s="692" customFormat="1" ht="16.5" customHeight="1">
      <c r="A222" s="1124">
        <v>7</v>
      </c>
      <c r="B222" s="1126" t="s">
        <v>821</v>
      </c>
      <c r="C222" s="1126" t="s">
        <v>822</v>
      </c>
      <c r="D222" s="1127" t="s">
        <v>823</v>
      </c>
      <c r="E222" s="1124" t="s">
        <v>733</v>
      </c>
      <c r="F222" s="1124" t="s">
        <v>824</v>
      </c>
      <c r="G222" s="1125" t="s">
        <v>787</v>
      </c>
      <c r="H222" s="691">
        <f>H223+H224+H225+H226</f>
        <v>75794226</v>
      </c>
      <c r="I222" s="691">
        <f>I223+I224+I225+I226</f>
        <v>0</v>
      </c>
      <c r="J222" s="1128">
        <f>K222+N222</f>
        <v>81268110</v>
      </c>
      <c r="K222" s="1128">
        <f>L222+M222</f>
        <v>73141299</v>
      </c>
      <c r="L222" s="1129">
        <v>8005802</v>
      </c>
      <c r="M222" s="1129">
        <v>65135497</v>
      </c>
      <c r="N222" s="1128">
        <f>O222+R222+U222</f>
        <v>8126811</v>
      </c>
      <c r="O222" s="1128">
        <f>P222+Q222</f>
        <v>8126811</v>
      </c>
      <c r="P222" s="1129">
        <v>889534</v>
      </c>
      <c r="Q222" s="1129">
        <v>7237277</v>
      </c>
      <c r="R222" s="1128">
        <f>S222+T222</f>
        <v>0</v>
      </c>
      <c r="S222" s="1129">
        <v>0</v>
      </c>
      <c r="T222" s="1129">
        <v>0</v>
      </c>
      <c r="U222" s="1128">
        <f>V222+W222</f>
        <v>0</v>
      </c>
      <c r="V222" s="1129">
        <v>0</v>
      </c>
      <c r="W222" s="1129">
        <v>0</v>
      </c>
    </row>
    <row r="223" spans="1:23" s="692" customFormat="1" ht="16.5" customHeight="1">
      <c r="A223" s="1124"/>
      <c r="B223" s="1126"/>
      <c r="C223" s="1126"/>
      <c r="D223" s="1127"/>
      <c r="E223" s="1124"/>
      <c r="F223" s="1124"/>
      <c r="G223" s="1125"/>
      <c r="H223" s="691">
        <v>68214802</v>
      </c>
      <c r="I223" s="691">
        <v>0</v>
      </c>
      <c r="J223" s="1128"/>
      <c r="K223" s="1128"/>
      <c r="L223" s="1129"/>
      <c r="M223" s="1129"/>
      <c r="N223" s="1128"/>
      <c r="O223" s="1128"/>
      <c r="P223" s="1129"/>
      <c r="Q223" s="1129"/>
      <c r="R223" s="1128"/>
      <c r="S223" s="1129"/>
      <c r="T223" s="1129"/>
      <c r="U223" s="1128"/>
      <c r="V223" s="1129"/>
      <c r="W223" s="1129"/>
    </row>
    <row r="224" spans="1:23" s="692" customFormat="1" ht="16.5" customHeight="1">
      <c r="A224" s="1124"/>
      <c r="B224" s="1126"/>
      <c r="C224" s="1126"/>
      <c r="D224" s="1127"/>
      <c r="E224" s="1124"/>
      <c r="F224" s="1124"/>
      <c r="G224" s="1125"/>
      <c r="H224" s="691">
        <v>7579424</v>
      </c>
      <c r="I224" s="691">
        <v>0</v>
      </c>
      <c r="J224" s="693">
        <f>K224+N224</f>
        <v>-63719390</v>
      </c>
      <c r="K224" s="693">
        <f>L224+M224</f>
        <v>-57347452</v>
      </c>
      <c r="L224" s="694">
        <v>-7507455</v>
      </c>
      <c r="M224" s="694">
        <v>-49839997</v>
      </c>
      <c r="N224" s="693">
        <f>O224+R224+U224</f>
        <v>-6371938</v>
      </c>
      <c r="O224" s="693">
        <f>P224+Q224</f>
        <v>-6371938</v>
      </c>
      <c r="P224" s="694">
        <v>-834161</v>
      </c>
      <c r="Q224" s="694">
        <v>-5537777</v>
      </c>
      <c r="R224" s="693">
        <f>S224+T224</f>
        <v>0</v>
      </c>
      <c r="S224" s="694">
        <v>0</v>
      </c>
      <c r="T224" s="694">
        <v>0</v>
      </c>
      <c r="U224" s="693">
        <f>V224+W224</f>
        <v>0</v>
      </c>
      <c r="V224" s="694">
        <v>0</v>
      </c>
      <c r="W224" s="694">
        <v>0</v>
      </c>
    </row>
    <row r="225" spans="1:23" s="692" customFormat="1" ht="16.5" customHeight="1">
      <c r="A225" s="1124"/>
      <c r="B225" s="1126"/>
      <c r="C225" s="1126"/>
      <c r="D225" s="1127"/>
      <c r="E225" s="1124"/>
      <c r="F225" s="1124"/>
      <c r="G225" s="1125"/>
      <c r="H225" s="691">
        <v>0</v>
      </c>
      <c r="I225" s="691">
        <v>0</v>
      </c>
      <c r="J225" s="1128">
        <f t="shared" ref="J225:W225" si="41">J222+J224</f>
        <v>17548720</v>
      </c>
      <c r="K225" s="1128">
        <f t="shared" si="41"/>
        <v>15793847</v>
      </c>
      <c r="L225" s="1129">
        <f t="shared" si="41"/>
        <v>498347</v>
      </c>
      <c r="M225" s="1129">
        <f t="shared" si="41"/>
        <v>15295500</v>
      </c>
      <c r="N225" s="1128">
        <f t="shared" si="41"/>
        <v>1754873</v>
      </c>
      <c r="O225" s="1128">
        <f t="shared" si="41"/>
        <v>1754873</v>
      </c>
      <c r="P225" s="1129">
        <f t="shared" si="41"/>
        <v>55373</v>
      </c>
      <c r="Q225" s="1129">
        <f t="shared" si="41"/>
        <v>1699500</v>
      </c>
      <c r="R225" s="1128">
        <f t="shared" si="41"/>
        <v>0</v>
      </c>
      <c r="S225" s="1129">
        <f t="shared" si="41"/>
        <v>0</v>
      </c>
      <c r="T225" s="1129">
        <f t="shared" si="41"/>
        <v>0</v>
      </c>
      <c r="U225" s="1128">
        <f t="shared" si="41"/>
        <v>0</v>
      </c>
      <c r="V225" s="1129">
        <f t="shared" si="41"/>
        <v>0</v>
      </c>
      <c r="W225" s="1129">
        <f t="shared" si="41"/>
        <v>0</v>
      </c>
    </row>
    <row r="226" spans="1:23" s="692" customFormat="1" ht="16.5" customHeight="1">
      <c r="A226" s="1124"/>
      <c r="B226" s="1126"/>
      <c r="C226" s="1126"/>
      <c r="D226" s="1127"/>
      <c r="E226" s="1124"/>
      <c r="F226" s="1124"/>
      <c r="G226" s="1125"/>
      <c r="H226" s="691">
        <v>0</v>
      </c>
      <c r="I226" s="691">
        <v>0</v>
      </c>
      <c r="J226" s="1128"/>
      <c r="K226" s="1128"/>
      <c r="L226" s="1129"/>
      <c r="M226" s="1129"/>
      <c r="N226" s="1128"/>
      <c r="O226" s="1128"/>
      <c r="P226" s="1129"/>
      <c r="Q226" s="1129"/>
      <c r="R226" s="1128"/>
      <c r="S226" s="1129"/>
      <c r="T226" s="1129"/>
      <c r="U226" s="1128"/>
      <c r="V226" s="1129"/>
      <c r="W226" s="1129"/>
    </row>
    <row r="227" spans="1:23" s="692" customFormat="1" ht="15.75" hidden="1" customHeight="1">
      <c r="A227" s="1124">
        <v>27</v>
      </c>
      <c r="B227" s="1125" t="s">
        <v>825</v>
      </c>
      <c r="C227" s="1126" t="s">
        <v>826</v>
      </c>
      <c r="D227" s="1127" t="s">
        <v>827</v>
      </c>
      <c r="E227" s="1124" t="s">
        <v>733</v>
      </c>
      <c r="F227" s="1124" t="s">
        <v>828</v>
      </c>
      <c r="G227" s="1125" t="s">
        <v>764</v>
      </c>
      <c r="H227" s="691">
        <f>H228+H229+H230+H231</f>
        <v>7809884</v>
      </c>
      <c r="I227" s="691">
        <f>I228+I229+I230+I231</f>
        <v>929439</v>
      </c>
      <c r="J227" s="1128">
        <f>K227+N227</f>
        <v>5731965</v>
      </c>
      <c r="K227" s="1128">
        <f>L227+M227</f>
        <v>3050188</v>
      </c>
      <c r="L227" s="1129">
        <v>73711</v>
      </c>
      <c r="M227" s="1129">
        <v>2976477</v>
      </c>
      <c r="N227" s="1128">
        <f>O227+R227+U227</f>
        <v>2681777</v>
      </c>
      <c r="O227" s="1128">
        <f>P227+Q227</f>
        <v>0</v>
      </c>
      <c r="P227" s="1129">
        <v>0</v>
      </c>
      <c r="Q227" s="1129">
        <v>0</v>
      </c>
      <c r="R227" s="1128">
        <f>S227+T227</f>
        <v>2681777</v>
      </c>
      <c r="S227" s="1129">
        <v>13007</v>
      </c>
      <c r="T227" s="1129">
        <v>2668770</v>
      </c>
      <c r="U227" s="1128">
        <f>V227+W227</f>
        <v>0</v>
      </c>
      <c r="V227" s="1129">
        <v>0</v>
      </c>
      <c r="W227" s="1129">
        <v>0</v>
      </c>
    </row>
    <row r="228" spans="1:23" s="692" customFormat="1" ht="15.75" hidden="1" customHeight="1">
      <c r="A228" s="1124"/>
      <c r="B228" s="1125"/>
      <c r="C228" s="1126"/>
      <c r="D228" s="1127"/>
      <c r="E228" s="1124"/>
      <c r="F228" s="1124"/>
      <c r="G228" s="1125"/>
      <c r="H228" s="691">
        <v>4395978</v>
      </c>
      <c r="I228" s="691">
        <v>369581</v>
      </c>
      <c r="J228" s="1128"/>
      <c r="K228" s="1128"/>
      <c r="L228" s="1129"/>
      <c r="M228" s="1129"/>
      <c r="N228" s="1128"/>
      <c r="O228" s="1128"/>
      <c r="P228" s="1129"/>
      <c r="Q228" s="1129"/>
      <c r="R228" s="1128"/>
      <c r="S228" s="1129"/>
      <c r="T228" s="1129"/>
      <c r="U228" s="1128"/>
      <c r="V228" s="1129"/>
      <c r="W228" s="1129"/>
    </row>
    <row r="229" spans="1:23" s="692" customFormat="1" ht="15.75" hidden="1" customHeight="1">
      <c r="A229" s="1124"/>
      <c r="B229" s="1125"/>
      <c r="C229" s="1126"/>
      <c r="D229" s="1127"/>
      <c r="E229" s="1124"/>
      <c r="F229" s="1124"/>
      <c r="G229" s="1125"/>
      <c r="H229" s="691">
        <v>0</v>
      </c>
      <c r="I229" s="691">
        <v>0</v>
      </c>
      <c r="J229" s="693">
        <f>K229+N229</f>
        <v>0</v>
      </c>
      <c r="K229" s="693">
        <f>L229+M229</f>
        <v>0</v>
      </c>
      <c r="L229" s="694">
        <v>0</v>
      </c>
      <c r="M229" s="694">
        <v>0</v>
      </c>
      <c r="N229" s="693">
        <f>O229+R229+U229</f>
        <v>0</v>
      </c>
      <c r="O229" s="693">
        <f>P229+Q229</f>
        <v>0</v>
      </c>
      <c r="P229" s="694">
        <v>0</v>
      </c>
      <c r="Q229" s="694">
        <v>0</v>
      </c>
      <c r="R229" s="693">
        <f>S229+T229</f>
        <v>0</v>
      </c>
      <c r="S229" s="694">
        <v>0</v>
      </c>
      <c r="T229" s="694">
        <v>0</v>
      </c>
      <c r="U229" s="693">
        <f>V229+W229</f>
        <v>0</v>
      </c>
      <c r="V229" s="694">
        <v>0</v>
      </c>
      <c r="W229" s="694">
        <v>0</v>
      </c>
    </row>
    <row r="230" spans="1:23" s="692" customFormat="1" ht="15.75" hidden="1" customHeight="1">
      <c r="A230" s="1124"/>
      <c r="B230" s="1125"/>
      <c r="C230" s="1126"/>
      <c r="D230" s="1127"/>
      <c r="E230" s="1124"/>
      <c r="F230" s="1124"/>
      <c r="G230" s="1125"/>
      <c r="H230" s="691">
        <v>3413906</v>
      </c>
      <c r="I230" s="691">
        <v>559858</v>
      </c>
      <c r="J230" s="1128">
        <f t="shared" ref="J230:W230" si="42">J227+J229</f>
        <v>5731965</v>
      </c>
      <c r="K230" s="1128">
        <f t="shared" si="42"/>
        <v>3050188</v>
      </c>
      <c r="L230" s="1129">
        <f t="shared" si="42"/>
        <v>73711</v>
      </c>
      <c r="M230" s="1129">
        <f t="shared" si="42"/>
        <v>2976477</v>
      </c>
      <c r="N230" s="1128">
        <f t="shared" si="42"/>
        <v>2681777</v>
      </c>
      <c r="O230" s="1128">
        <f t="shared" si="42"/>
        <v>0</v>
      </c>
      <c r="P230" s="1129">
        <f t="shared" si="42"/>
        <v>0</v>
      </c>
      <c r="Q230" s="1129">
        <f t="shared" si="42"/>
        <v>0</v>
      </c>
      <c r="R230" s="1128">
        <f t="shared" si="42"/>
        <v>2681777</v>
      </c>
      <c r="S230" s="1129">
        <f t="shared" si="42"/>
        <v>13007</v>
      </c>
      <c r="T230" s="1129">
        <f t="shared" si="42"/>
        <v>2668770</v>
      </c>
      <c r="U230" s="1128">
        <f t="shared" si="42"/>
        <v>0</v>
      </c>
      <c r="V230" s="1129">
        <f t="shared" si="42"/>
        <v>0</v>
      </c>
      <c r="W230" s="1129">
        <f t="shared" si="42"/>
        <v>0</v>
      </c>
    </row>
    <row r="231" spans="1:23" s="692" customFormat="1" ht="15.75" hidden="1" customHeight="1">
      <c r="A231" s="1124"/>
      <c r="B231" s="1125"/>
      <c r="C231" s="1126"/>
      <c r="D231" s="1127"/>
      <c r="E231" s="1124"/>
      <c r="F231" s="1124"/>
      <c r="G231" s="1125"/>
      <c r="H231" s="691">
        <v>0</v>
      </c>
      <c r="I231" s="691">
        <v>0</v>
      </c>
      <c r="J231" s="1128"/>
      <c r="K231" s="1128"/>
      <c r="L231" s="1129"/>
      <c r="M231" s="1129"/>
      <c r="N231" s="1128"/>
      <c r="O231" s="1128"/>
      <c r="P231" s="1129"/>
      <c r="Q231" s="1129"/>
      <c r="R231" s="1128"/>
      <c r="S231" s="1129"/>
      <c r="T231" s="1129"/>
      <c r="U231" s="1128"/>
      <c r="V231" s="1129"/>
      <c r="W231" s="1129"/>
    </row>
    <row r="232" spans="1:23" s="692" customFormat="1" ht="16.5" hidden="1" customHeight="1">
      <c r="A232" s="1124">
        <v>28</v>
      </c>
      <c r="B232" s="1125" t="s">
        <v>825</v>
      </c>
      <c r="C232" s="1126" t="s">
        <v>826</v>
      </c>
      <c r="D232" s="1127" t="s">
        <v>829</v>
      </c>
      <c r="E232" s="1124" t="s">
        <v>733</v>
      </c>
      <c r="F232" s="1124" t="s">
        <v>828</v>
      </c>
      <c r="G232" s="1125" t="s">
        <v>750</v>
      </c>
      <c r="H232" s="691">
        <f>H233+H234+H235+H236</f>
        <v>4885843</v>
      </c>
      <c r="I232" s="691">
        <f>I233+I234+I235+I236</f>
        <v>30986</v>
      </c>
      <c r="J232" s="1128">
        <f>K232+N232</f>
        <v>127709</v>
      </c>
      <c r="K232" s="1128">
        <f>L232+M232</f>
        <v>108553</v>
      </c>
      <c r="L232" s="1129">
        <v>23553</v>
      </c>
      <c r="M232" s="1129">
        <v>85000</v>
      </c>
      <c r="N232" s="1128">
        <f>O232+R232+U232</f>
        <v>19156</v>
      </c>
      <c r="O232" s="1128">
        <f>P232+Q232</f>
        <v>12771</v>
      </c>
      <c r="P232" s="1129">
        <v>2771</v>
      </c>
      <c r="Q232" s="1129">
        <v>10000</v>
      </c>
      <c r="R232" s="1128">
        <f>S232+T232</f>
        <v>6385</v>
      </c>
      <c r="S232" s="1129">
        <v>1385</v>
      </c>
      <c r="T232" s="1129">
        <v>5000</v>
      </c>
      <c r="U232" s="1128">
        <f>V232+W232</f>
        <v>0</v>
      </c>
      <c r="V232" s="1129">
        <v>0</v>
      </c>
      <c r="W232" s="1129">
        <v>0</v>
      </c>
    </row>
    <row r="233" spans="1:23" s="692" customFormat="1" ht="16.5" hidden="1" customHeight="1">
      <c r="A233" s="1124"/>
      <c r="B233" s="1125"/>
      <c r="C233" s="1126"/>
      <c r="D233" s="1127"/>
      <c r="E233" s="1124"/>
      <c r="F233" s="1124"/>
      <c r="G233" s="1125"/>
      <c r="H233" s="691">
        <v>4152967</v>
      </c>
      <c r="I233" s="691">
        <v>26338</v>
      </c>
      <c r="J233" s="1128"/>
      <c r="K233" s="1128"/>
      <c r="L233" s="1129"/>
      <c r="M233" s="1129"/>
      <c r="N233" s="1128"/>
      <c r="O233" s="1128"/>
      <c r="P233" s="1129"/>
      <c r="Q233" s="1129"/>
      <c r="R233" s="1128"/>
      <c r="S233" s="1129"/>
      <c r="T233" s="1129"/>
      <c r="U233" s="1128"/>
      <c r="V233" s="1129"/>
      <c r="W233" s="1129"/>
    </row>
    <row r="234" spans="1:23" s="692" customFormat="1" ht="16.5" hidden="1" customHeight="1">
      <c r="A234" s="1124"/>
      <c r="B234" s="1125"/>
      <c r="C234" s="1126"/>
      <c r="D234" s="1127"/>
      <c r="E234" s="1124"/>
      <c r="F234" s="1124"/>
      <c r="G234" s="1125"/>
      <c r="H234" s="691">
        <v>488586</v>
      </c>
      <c r="I234" s="691">
        <v>3099</v>
      </c>
      <c r="J234" s="693">
        <f>K234+N234</f>
        <v>0</v>
      </c>
      <c r="K234" s="693">
        <f>L234+M234</f>
        <v>0</v>
      </c>
      <c r="L234" s="694">
        <v>0</v>
      </c>
      <c r="M234" s="694">
        <v>0</v>
      </c>
      <c r="N234" s="693">
        <f>O234+R234+U234</f>
        <v>0</v>
      </c>
      <c r="O234" s="693">
        <f>P234+Q234</f>
        <v>0</v>
      </c>
      <c r="P234" s="694">
        <v>0</v>
      </c>
      <c r="Q234" s="694">
        <v>0</v>
      </c>
      <c r="R234" s="693">
        <f>S234+T234</f>
        <v>0</v>
      </c>
      <c r="S234" s="694">
        <v>0</v>
      </c>
      <c r="T234" s="694">
        <v>0</v>
      </c>
      <c r="U234" s="693">
        <f>V234+W234</f>
        <v>0</v>
      </c>
      <c r="V234" s="694">
        <v>0</v>
      </c>
      <c r="W234" s="694">
        <v>0</v>
      </c>
    </row>
    <row r="235" spans="1:23" s="692" customFormat="1" ht="16.5" hidden="1" customHeight="1">
      <c r="A235" s="1124"/>
      <c r="B235" s="1125"/>
      <c r="C235" s="1126"/>
      <c r="D235" s="1127"/>
      <c r="E235" s="1124"/>
      <c r="F235" s="1124"/>
      <c r="G235" s="1125"/>
      <c r="H235" s="691">
        <v>244290</v>
      </c>
      <c r="I235" s="691">
        <v>1549</v>
      </c>
      <c r="J235" s="1128">
        <f t="shared" ref="J235:W235" si="43">J232+J234</f>
        <v>127709</v>
      </c>
      <c r="K235" s="1128">
        <f t="shared" si="43"/>
        <v>108553</v>
      </c>
      <c r="L235" s="1129">
        <f t="shared" si="43"/>
        <v>23553</v>
      </c>
      <c r="M235" s="1129">
        <f t="shared" si="43"/>
        <v>85000</v>
      </c>
      <c r="N235" s="1128">
        <f t="shared" si="43"/>
        <v>19156</v>
      </c>
      <c r="O235" s="1128">
        <f t="shared" si="43"/>
        <v>12771</v>
      </c>
      <c r="P235" s="1129">
        <f t="shared" si="43"/>
        <v>2771</v>
      </c>
      <c r="Q235" s="1129">
        <f t="shared" si="43"/>
        <v>10000</v>
      </c>
      <c r="R235" s="1128">
        <f t="shared" si="43"/>
        <v>6385</v>
      </c>
      <c r="S235" s="1129">
        <f t="shared" si="43"/>
        <v>1385</v>
      </c>
      <c r="T235" s="1129">
        <f t="shared" si="43"/>
        <v>5000</v>
      </c>
      <c r="U235" s="1128">
        <f t="shared" si="43"/>
        <v>0</v>
      </c>
      <c r="V235" s="1129">
        <f t="shared" si="43"/>
        <v>0</v>
      </c>
      <c r="W235" s="1129">
        <f t="shared" si="43"/>
        <v>0</v>
      </c>
    </row>
    <row r="236" spans="1:23" s="692" customFormat="1" ht="16.5" hidden="1" customHeight="1">
      <c r="A236" s="1124"/>
      <c r="B236" s="1125"/>
      <c r="C236" s="1126"/>
      <c r="D236" s="1127"/>
      <c r="E236" s="1124"/>
      <c r="F236" s="1124"/>
      <c r="G236" s="1125"/>
      <c r="H236" s="691">
        <v>0</v>
      </c>
      <c r="I236" s="691">
        <v>0</v>
      </c>
      <c r="J236" s="1128"/>
      <c r="K236" s="1128"/>
      <c r="L236" s="1129"/>
      <c r="M236" s="1129"/>
      <c r="N236" s="1128"/>
      <c r="O236" s="1128"/>
      <c r="P236" s="1129"/>
      <c r="Q236" s="1129"/>
      <c r="R236" s="1128"/>
      <c r="S236" s="1129"/>
      <c r="T236" s="1129"/>
      <c r="U236" s="1128"/>
      <c r="V236" s="1129"/>
      <c r="W236" s="1129"/>
    </row>
    <row r="237" spans="1:23" s="692" customFormat="1" ht="15.75" hidden="1" customHeight="1">
      <c r="A237" s="1124">
        <v>29</v>
      </c>
      <c r="B237" s="1125" t="s">
        <v>830</v>
      </c>
      <c r="C237" s="1126" t="s">
        <v>38</v>
      </c>
      <c r="D237" s="1127" t="s">
        <v>831</v>
      </c>
      <c r="E237" s="1124" t="s">
        <v>733</v>
      </c>
      <c r="F237" s="1124" t="s">
        <v>828</v>
      </c>
      <c r="G237" s="1125" t="s">
        <v>764</v>
      </c>
      <c r="H237" s="691">
        <f>H238+H239+H240+H241</f>
        <v>26108822</v>
      </c>
      <c r="I237" s="691">
        <f>I238+I239+I240+I241</f>
        <v>2355806</v>
      </c>
      <c r="J237" s="1128">
        <f>K237+N237</f>
        <v>14791406</v>
      </c>
      <c r="K237" s="1128">
        <f>L237+M237</f>
        <v>5030444</v>
      </c>
      <c r="L237" s="1129">
        <v>243893</v>
      </c>
      <c r="M237" s="1129">
        <v>4786551</v>
      </c>
      <c r="N237" s="1128">
        <f>O237+R237+U237</f>
        <v>9760962</v>
      </c>
      <c r="O237" s="1128">
        <f>P237+Q237</f>
        <v>0</v>
      </c>
      <c r="P237" s="1129">
        <v>0</v>
      </c>
      <c r="Q237" s="1129">
        <v>0</v>
      </c>
      <c r="R237" s="1128">
        <f>S237+T237</f>
        <v>9760962</v>
      </c>
      <c r="S237" s="1129">
        <v>43040</v>
      </c>
      <c r="T237" s="1129">
        <v>9717922</v>
      </c>
      <c r="U237" s="1128">
        <f>V237+W237</f>
        <v>0</v>
      </c>
      <c r="V237" s="1129">
        <v>0</v>
      </c>
      <c r="W237" s="1129">
        <v>0</v>
      </c>
    </row>
    <row r="238" spans="1:23" s="692" customFormat="1" ht="15.75" hidden="1" customHeight="1">
      <c r="A238" s="1124"/>
      <c r="B238" s="1125"/>
      <c r="C238" s="1126"/>
      <c r="D238" s="1127"/>
      <c r="E238" s="1124"/>
      <c r="F238" s="1124"/>
      <c r="G238" s="1125"/>
      <c r="H238" s="691">
        <v>7574485</v>
      </c>
      <c r="I238" s="691">
        <v>446968</v>
      </c>
      <c r="J238" s="1128"/>
      <c r="K238" s="1128"/>
      <c r="L238" s="1129"/>
      <c r="M238" s="1129"/>
      <c r="N238" s="1128"/>
      <c r="O238" s="1128"/>
      <c r="P238" s="1129"/>
      <c r="Q238" s="1129"/>
      <c r="R238" s="1128"/>
      <c r="S238" s="1129"/>
      <c r="T238" s="1129"/>
      <c r="U238" s="1128"/>
      <c r="V238" s="1129"/>
      <c r="W238" s="1129"/>
    </row>
    <row r="239" spans="1:23" s="692" customFormat="1" ht="15.75" hidden="1" customHeight="1">
      <c r="A239" s="1124"/>
      <c r="B239" s="1125"/>
      <c r="C239" s="1126"/>
      <c r="D239" s="1127"/>
      <c r="E239" s="1124"/>
      <c r="F239" s="1124"/>
      <c r="G239" s="1125"/>
      <c r="H239" s="691">
        <v>0</v>
      </c>
      <c r="I239" s="691">
        <v>0</v>
      </c>
      <c r="J239" s="693">
        <f>K239+N239</f>
        <v>0</v>
      </c>
      <c r="K239" s="693">
        <f>L239+M239</f>
        <v>0</v>
      </c>
      <c r="L239" s="694">
        <v>0</v>
      </c>
      <c r="M239" s="694">
        <v>0</v>
      </c>
      <c r="N239" s="693">
        <f>O239+R239+U239</f>
        <v>0</v>
      </c>
      <c r="O239" s="693">
        <f>P239+Q239</f>
        <v>0</v>
      </c>
      <c r="P239" s="694">
        <v>0</v>
      </c>
      <c r="Q239" s="694">
        <v>0</v>
      </c>
      <c r="R239" s="693">
        <f>S239+T239</f>
        <v>0</v>
      </c>
      <c r="S239" s="694">
        <v>0</v>
      </c>
      <c r="T239" s="694">
        <v>0</v>
      </c>
      <c r="U239" s="693">
        <f>V239+W239</f>
        <v>0</v>
      </c>
      <c r="V239" s="694">
        <v>0</v>
      </c>
      <c r="W239" s="694">
        <v>0</v>
      </c>
    </row>
    <row r="240" spans="1:23" s="692" customFormat="1" ht="15.75" hidden="1" customHeight="1">
      <c r="A240" s="1124"/>
      <c r="B240" s="1125"/>
      <c r="C240" s="1126"/>
      <c r="D240" s="1127"/>
      <c r="E240" s="1124"/>
      <c r="F240" s="1124"/>
      <c r="G240" s="1125"/>
      <c r="H240" s="691">
        <v>18534337</v>
      </c>
      <c r="I240" s="691">
        <v>1908838</v>
      </c>
      <c r="J240" s="1128">
        <f t="shared" ref="J240:W240" si="44">J237+J239</f>
        <v>14791406</v>
      </c>
      <c r="K240" s="1128">
        <f t="shared" si="44"/>
        <v>5030444</v>
      </c>
      <c r="L240" s="1129">
        <f t="shared" si="44"/>
        <v>243893</v>
      </c>
      <c r="M240" s="1129">
        <f t="shared" si="44"/>
        <v>4786551</v>
      </c>
      <c r="N240" s="1128">
        <f t="shared" si="44"/>
        <v>9760962</v>
      </c>
      <c r="O240" s="1128">
        <f t="shared" si="44"/>
        <v>0</v>
      </c>
      <c r="P240" s="1129">
        <f t="shared" si="44"/>
        <v>0</v>
      </c>
      <c r="Q240" s="1129">
        <f t="shared" si="44"/>
        <v>0</v>
      </c>
      <c r="R240" s="1128">
        <f t="shared" si="44"/>
        <v>9760962</v>
      </c>
      <c r="S240" s="1129">
        <f t="shared" si="44"/>
        <v>43040</v>
      </c>
      <c r="T240" s="1129">
        <f t="shared" si="44"/>
        <v>9717922</v>
      </c>
      <c r="U240" s="1128">
        <f t="shared" si="44"/>
        <v>0</v>
      </c>
      <c r="V240" s="1129">
        <f t="shared" si="44"/>
        <v>0</v>
      </c>
      <c r="W240" s="1129">
        <f t="shared" si="44"/>
        <v>0</v>
      </c>
    </row>
    <row r="241" spans="1:23" s="692" customFormat="1" ht="15.75" hidden="1" customHeight="1">
      <c r="A241" s="1124"/>
      <c r="B241" s="1125"/>
      <c r="C241" s="1126"/>
      <c r="D241" s="1127"/>
      <c r="E241" s="1124"/>
      <c r="F241" s="1124"/>
      <c r="G241" s="1125"/>
      <c r="H241" s="691">
        <v>0</v>
      </c>
      <c r="I241" s="691">
        <v>0</v>
      </c>
      <c r="J241" s="1128"/>
      <c r="K241" s="1128"/>
      <c r="L241" s="1129"/>
      <c r="M241" s="1129"/>
      <c r="N241" s="1128"/>
      <c r="O241" s="1128"/>
      <c r="P241" s="1129"/>
      <c r="Q241" s="1129"/>
      <c r="R241" s="1128"/>
      <c r="S241" s="1129"/>
      <c r="T241" s="1129"/>
      <c r="U241" s="1128"/>
      <c r="V241" s="1129"/>
      <c r="W241" s="1129"/>
    </row>
    <row r="242" spans="1:23" s="692" customFormat="1" ht="15.75" hidden="1" customHeight="1">
      <c r="A242" s="1124">
        <v>30</v>
      </c>
      <c r="B242" s="1125" t="s">
        <v>830</v>
      </c>
      <c r="C242" s="1126" t="s">
        <v>38</v>
      </c>
      <c r="D242" s="1127" t="s">
        <v>832</v>
      </c>
      <c r="E242" s="1124" t="s">
        <v>733</v>
      </c>
      <c r="F242" s="1124" t="s">
        <v>828</v>
      </c>
      <c r="G242" s="1125" t="s">
        <v>764</v>
      </c>
      <c r="H242" s="691">
        <f>H243+H244+H245+H246</f>
        <v>11218462</v>
      </c>
      <c r="I242" s="691">
        <f>I243+I244+I245+I246</f>
        <v>3339415</v>
      </c>
      <c r="J242" s="1128">
        <f>K242+N242</f>
        <v>5169482</v>
      </c>
      <c r="K242" s="1128">
        <f>L242+M242</f>
        <v>3246952</v>
      </c>
      <c r="L242" s="1129">
        <v>169924</v>
      </c>
      <c r="M242" s="1129">
        <v>3077028</v>
      </c>
      <c r="N242" s="1128">
        <f>O242+R242+U242</f>
        <v>1922530</v>
      </c>
      <c r="O242" s="1128">
        <f>P242+Q242</f>
        <v>0</v>
      </c>
      <c r="P242" s="1129">
        <v>0</v>
      </c>
      <c r="Q242" s="1129">
        <v>0</v>
      </c>
      <c r="R242" s="1128">
        <f>S242+T242</f>
        <v>1922530</v>
      </c>
      <c r="S242" s="1129">
        <v>100612</v>
      </c>
      <c r="T242" s="1129">
        <v>1821918</v>
      </c>
      <c r="U242" s="1128">
        <f>V242+W242</f>
        <v>0</v>
      </c>
      <c r="V242" s="1129">
        <v>0</v>
      </c>
      <c r="W242" s="1129">
        <v>0</v>
      </c>
    </row>
    <row r="243" spans="1:23" s="692" customFormat="1" ht="15.75" hidden="1" customHeight="1">
      <c r="A243" s="1124"/>
      <c r="B243" s="1125"/>
      <c r="C243" s="1126"/>
      <c r="D243" s="1127"/>
      <c r="E243" s="1124"/>
      <c r="F243" s="1124"/>
      <c r="G243" s="1125"/>
      <c r="H243" s="691">
        <v>7046316</v>
      </c>
      <c r="I243" s="691">
        <v>2097486</v>
      </c>
      <c r="J243" s="1128"/>
      <c r="K243" s="1128"/>
      <c r="L243" s="1129"/>
      <c r="M243" s="1129"/>
      <c r="N243" s="1128"/>
      <c r="O243" s="1128"/>
      <c r="P243" s="1129"/>
      <c r="Q243" s="1129"/>
      <c r="R243" s="1128"/>
      <c r="S243" s="1129"/>
      <c r="T243" s="1129"/>
      <c r="U243" s="1128"/>
      <c r="V243" s="1129"/>
      <c r="W243" s="1129"/>
    </row>
    <row r="244" spans="1:23" s="692" customFormat="1" ht="15.75" hidden="1" customHeight="1">
      <c r="A244" s="1124"/>
      <c r="B244" s="1125"/>
      <c r="C244" s="1126"/>
      <c r="D244" s="1127"/>
      <c r="E244" s="1124"/>
      <c r="F244" s="1124"/>
      <c r="G244" s="1125"/>
      <c r="H244" s="691">
        <v>0</v>
      </c>
      <c r="I244" s="691">
        <v>0</v>
      </c>
      <c r="J244" s="693">
        <f>K244+N244</f>
        <v>0</v>
      </c>
      <c r="K244" s="693">
        <f>L244+M244</f>
        <v>0</v>
      </c>
      <c r="L244" s="694">
        <v>0</v>
      </c>
      <c r="M244" s="694">
        <v>0</v>
      </c>
      <c r="N244" s="693">
        <f>O244+R244+U244</f>
        <v>0</v>
      </c>
      <c r="O244" s="693">
        <f>P244+Q244</f>
        <v>0</v>
      </c>
      <c r="P244" s="694">
        <v>0</v>
      </c>
      <c r="Q244" s="694">
        <v>0</v>
      </c>
      <c r="R244" s="693">
        <f>S244+T244</f>
        <v>0</v>
      </c>
      <c r="S244" s="694">
        <v>0</v>
      </c>
      <c r="T244" s="694">
        <v>0</v>
      </c>
      <c r="U244" s="693">
        <f>V244+W244</f>
        <v>0</v>
      </c>
      <c r="V244" s="694">
        <v>0</v>
      </c>
      <c r="W244" s="694">
        <v>0</v>
      </c>
    </row>
    <row r="245" spans="1:23" s="692" customFormat="1" ht="15.75" hidden="1" customHeight="1">
      <c r="A245" s="1124"/>
      <c r="B245" s="1125"/>
      <c r="C245" s="1126"/>
      <c r="D245" s="1127"/>
      <c r="E245" s="1124"/>
      <c r="F245" s="1124"/>
      <c r="G245" s="1125"/>
      <c r="H245" s="691">
        <v>4172146</v>
      </c>
      <c r="I245" s="691">
        <v>1241929</v>
      </c>
      <c r="J245" s="1128">
        <f t="shared" ref="J245:W245" si="45">J242+J244</f>
        <v>5169482</v>
      </c>
      <c r="K245" s="1128">
        <f t="shared" si="45"/>
        <v>3246952</v>
      </c>
      <c r="L245" s="1129">
        <f t="shared" si="45"/>
        <v>169924</v>
      </c>
      <c r="M245" s="1129">
        <f t="shared" si="45"/>
        <v>3077028</v>
      </c>
      <c r="N245" s="1128">
        <f t="shared" si="45"/>
        <v>1922530</v>
      </c>
      <c r="O245" s="1128">
        <f t="shared" si="45"/>
        <v>0</v>
      </c>
      <c r="P245" s="1129">
        <f t="shared" si="45"/>
        <v>0</v>
      </c>
      <c r="Q245" s="1129">
        <f t="shared" si="45"/>
        <v>0</v>
      </c>
      <c r="R245" s="1128">
        <f t="shared" si="45"/>
        <v>1922530</v>
      </c>
      <c r="S245" s="1129">
        <f t="shared" si="45"/>
        <v>100612</v>
      </c>
      <c r="T245" s="1129">
        <f t="shared" si="45"/>
        <v>1821918</v>
      </c>
      <c r="U245" s="1128">
        <f t="shared" si="45"/>
        <v>0</v>
      </c>
      <c r="V245" s="1129">
        <f t="shared" si="45"/>
        <v>0</v>
      </c>
      <c r="W245" s="1129">
        <f t="shared" si="45"/>
        <v>0</v>
      </c>
    </row>
    <row r="246" spans="1:23" s="692" customFormat="1" ht="15.75" hidden="1" customHeight="1">
      <c r="A246" s="1124"/>
      <c r="B246" s="1125"/>
      <c r="C246" s="1126"/>
      <c r="D246" s="1127"/>
      <c r="E246" s="1124"/>
      <c r="F246" s="1124"/>
      <c r="G246" s="1125"/>
      <c r="H246" s="691">
        <v>0</v>
      </c>
      <c r="I246" s="691">
        <v>0</v>
      </c>
      <c r="J246" s="1128"/>
      <c r="K246" s="1128"/>
      <c r="L246" s="1129"/>
      <c r="M246" s="1129"/>
      <c r="N246" s="1128"/>
      <c r="O246" s="1128"/>
      <c r="P246" s="1129"/>
      <c r="Q246" s="1129"/>
      <c r="R246" s="1128"/>
      <c r="S246" s="1129"/>
      <c r="T246" s="1129"/>
      <c r="U246" s="1128"/>
      <c r="V246" s="1129"/>
      <c r="W246" s="1129"/>
    </row>
    <row r="247" spans="1:23" s="692" customFormat="1" ht="15.75" hidden="1" customHeight="1">
      <c r="A247" s="1124">
        <v>31</v>
      </c>
      <c r="B247" s="1125" t="s">
        <v>830</v>
      </c>
      <c r="C247" s="1126" t="s">
        <v>38</v>
      </c>
      <c r="D247" s="1127" t="s">
        <v>833</v>
      </c>
      <c r="E247" s="1124" t="s">
        <v>733</v>
      </c>
      <c r="F247" s="1124" t="s">
        <v>834</v>
      </c>
      <c r="G247" s="1125" t="s">
        <v>740</v>
      </c>
      <c r="H247" s="691">
        <f>H248+H249+H250+H251</f>
        <v>0</v>
      </c>
      <c r="I247" s="691">
        <f>I248+I249+I250+I251</f>
        <v>0</v>
      </c>
      <c r="J247" s="1128">
        <f>K247+N247</f>
        <v>0</v>
      </c>
      <c r="K247" s="1128">
        <f>L247+M247</f>
        <v>0</v>
      </c>
      <c r="L247" s="1129">
        <v>0</v>
      </c>
      <c r="M247" s="1129">
        <v>0</v>
      </c>
      <c r="N247" s="1128">
        <f>O247+R247+U247</f>
        <v>0</v>
      </c>
      <c r="O247" s="1128">
        <f>P247+Q247</f>
        <v>0</v>
      </c>
      <c r="P247" s="1129">
        <v>0</v>
      </c>
      <c r="Q247" s="1129">
        <v>0</v>
      </c>
      <c r="R247" s="1128">
        <f>S247+T247</f>
        <v>0</v>
      </c>
      <c r="S247" s="1129">
        <v>0</v>
      </c>
      <c r="T247" s="1129">
        <v>0</v>
      </c>
      <c r="U247" s="1128">
        <f>V247+W247</f>
        <v>0</v>
      </c>
      <c r="V247" s="1129">
        <v>0</v>
      </c>
      <c r="W247" s="1129">
        <v>0</v>
      </c>
    </row>
    <row r="248" spans="1:23" s="692" customFormat="1" ht="15.75" hidden="1" customHeight="1">
      <c r="A248" s="1124"/>
      <c r="B248" s="1125"/>
      <c r="C248" s="1126"/>
      <c r="D248" s="1127"/>
      <c r="E248" s="1124"/>
      <c r="F248" s="1124"/>
      <c r="G248" s="1125"/>
      <c r="H248" s="691">
        <v>0</v>
      </c>
      <c r="I248" s="691">
        <v>0</v>
      </c>
      <c r="J248" s="1128"/>
      <c r="K248" s="1128"/>
      <c r="L248" s="1129"/>
      <c r="M248" s="1129"/>
      <c r="N248" s="1128"/>
      <c r="O248" s="1128"/>
      <c r="P248" s="1129"/>
      <c r="Q248" s="1129"/>
      <c r="R248" s="1128"/>
      <c r="S248" s="1129"/>
      <c r="T248" s="1129"/>
      <c r="U248" s="1128"/>
      <c r="V248" s="1129"/>
      <c r="W248" s="1129"/>
    </row>
    <row r="249" spans="1:23" s="692" customFormat="1" ht="15.75" hidden="1" customHeight="1">
      <c r="A249" s="1124"/>
      <c r="B249" s="1125"/>
      <c r="C249" s="1126"/>
      <c r="D249" s="1127"/>
      <c r="E249" s="1124"/>
      <c r="F249" s="1124"/>
      <c r="G249" s="1125"/>
      <c r="H249" s="691">
        <v>0</v>
      </c>
      <c r="I249" s="691">
        <v>0</v>
      </c>
      <c r="J249" s="693">
        <f>K249+N249</f>
        <v>0</v>
      </c>
      <c r="K249" s="693">
        <f>L249+M249</f>
        <v>0</v>
      </c>
      <c r="L249" s="694">
        <v>0</v>
      </c>
      <c r="M249" s="694">
        <v>0</v>
      </c>
      <c r="N249" s="693">
        <f>O249+R249+U249</f>
        <v>0</v>
      </c>
      <c r="O249" s="693">
        <f>P249+Q249</f>
        <v>0</v>
      </c>
      <c r="P249" s="694">
        <v>0</v>
      </c>
      <c r="Q249" s="694">
        <v>0</v>
      </c>
      <c r="R249" s="693">
        <f>S249+T249</f>
        <v>0</v>
      </c>
      <c r="S249" s="694">
        <v>0</v>
      </c>
      <c r="T249" s="694">
        <v>0</v>
      </c>
      <c r="U249" s="693">
        <f>V249+W249</f>
        <v>0</v>
      </c>
      <c r="V249" s="694">
        <v>0</v>
      </c>
      <c r="W249" s="694">
        <v>0</v>
      </c>
    </row>
    <row r="250" spans="1:23" s="692" customFormat="1" ht="15.75" hidden="1" customHeight="1">
      <c r="A250" s="1124"/>
      <c r="B250" s="1125"/>
      <c r="C250" s="1126"/>
      <c r="D250" s="1127"/>
      <c r="E250" s="1124"/>
      <c r="F250" s="1124"/>
      <c r="G250" s="1125"/>
      <c r="H250" s="691">
        <v>0</v>
      </c>
      <c r="I250" s="691">
        <v>0</v>
      </c>
      <c r="J250" s="1128">
        <f t="shared" ref="J250:W250" si="46">J247+J249</f>
        <v>0</v>
      </c>
      <c r="K250" s="1128">
        <f t="shared" si="46"/>
        <v>0</v>
      </c>
      <c r="L250" s="1129">
        <f t="shared" si="46"/>
        <v>0</v>
      </c>
      <c r="M250" s="1129">
        <f t="shared" si="46"/>
        <v>0</v>
      </c>
      <c r="N250" s="1128">
        <f t="shared" si="46"/>
        <v>0</v>
      </c>
      <c r="O250" s="1128">
        <f t="shared" si="46"/>
        <v>0</v>
      </c>
      <c r="P250" s="1129">
        <f t="shared" si="46"/>
        <v>0</v>
      </c>
      <c r="Q250" s="1129">
        <f t="shared" si="46"/>
        <v>0</v>
      </c>
      <c r="R250" s="1128">
        <f t="shared" si="46"/>
        <v>0</v>
      </c>
      <c r="S250" s="1129">
        <f t="shared" si="46"/>
        <v>0</v>
      </c>
      <c r="T250" s="1129">
        <f t="shared" si="46"/>
        <v>0</v>
      </c>
      <c r="U250" s="1128">
        <f t="shared" si="46"/>
        <v>0</v>
      </c>
      <c r="V250" s="1129">
        <f t="shared" si="46"/>
        <v>0</v>
      </c>
      <c r="W250" s="1129">
        <f t="shared" si="46"/>
        <v>0</v>
      </c>
    </row>
    <row r="251" spans="1:23" s="692" customFormat="1" ht="15.75" hidden="1" customHeight="1">
      <c r="A251" s="1124"/>
      <c r="B251" s="1125"/>
      <c r="C251" s="1126"/>
      <c r="D251" s="1127"/>
      <c r="E251" s="1124"/>
      <c r="F251" s="1124"/>
      <c r="G251" s="1125"/>
      <c r="H251" s="691">
        <v>0</v>
      </c>
      <c r="I251" s="691">
        <v>0</v>
      </c>
      <c r="J251" s="1128"/>
      <c r="K251" s="1128"/>
      <c r="L251" s="1129"/>
      <c r="M251" s="1129"/>
      <c r="N251" s="1128"/>
      <c r="O251" s="1128"/>
      <c r="P251" s="1129"/>
      <c r="Q251" s="1129"/>
      <c r="R251" s="1128"/>
      <c r="S251" s="1129"/>
      <c r="T251" s="1129"/>
      <c r="U251" s="1128"/>
      <c r="V251" s="1129"/>
      <c r="W251" s="1129"/>
    </row>
    <row r="252" spans="1:23" s="692" customFormat="1" ht="19.5" hidden="1" customHeight="1">
      <c r="A252" s="1124">
        <v>32</v>
      </c>
      <c r="B252" s="1125" t="s">
        <v>830</v>
      </c>
      <c r="C252" s="1126" t="s">
        <v>38</v>
      </c>
      <c r="D252" s="1127" t="s">
        <v>835</v>
      </c>
      <c r="E252" s="1124" t="s">
        <v>733</v>
      </c>
      <c r="F252" s="1124" t="s">
        <v>836</v>
      </c>
      <c r="G252" s="1125" t="s">
        <v>750</v>
      </c>
      <c r="H252" s="691">
        <f>H253+H254+H255+H256</f>
        <v>11149070</v>
      </c>
      <c r="I252" s="691">
        <f>I253+I254+I255+I256</f>
        <v>33702</v>
      </c>
      <c r="J252" s="1128">
        <f>K252+N252</f>
        <v>410963</v>
      </c>
      <c r="K252" s="1128">
        <f>L252+M252</f>
        <v>67391</v>
      </c>
      <c r="L252" s="1129">
        <v>67391</v>
      </c>
      <c r="M252" s="1129">
        <v>0</v>
      </c>
      <c r="N252" s="1128">
        <f>O252+R252+U252</f>
        <v>343572</v>
      </c>
      <c r="O252" s="1128">
        <f>P252+Q252</f>
        <v>0</v>
      </c>
      <c r="P252" s="1129">
        <v>0</v>
      </c>
      <c r="Q252" s="1129">
        <v>0</v>
      </c>
      <c r="R252" s="1128">
        <f>S252+T252</f>
        <v>343572</v>
      </c>
      <c r="S252" s="1129">
        <v>11894</v>
      </c>
      <c r="T252" s="1129">
        <v>331678</v>
      </c>
      <c r="U252" s="1128">
        <f>V252+W252</f>
        <v>0</v>
      </c>
      <c r="V252" s="1129">
        <v>0</v>
      </c>
      <c r="W252" s="1129">
        <v>0</v>
      </c>
    </row>
    <row r="253" spans="1:23" s="692" customFormat="1" ht="19.5" hidden="1" customHeight="1">
      <c r="A253" s="1124"/>
      <c r="B253" s="1125"/>
      <c r="C253" s="1126"/>
      <c r="D253" s="1127"/>
      <c r="E253" s="1124"/>
      <c r="F253" s="1124"/>
      <c r="G253" s="1125"/>
      <c r="H253" s="691">
        <v>7423868</v>
      </c>
      <c r="I253" s="691">
        <v>17761</v>
      </c>
      <c r="J253" s="1128"/>
      <c r="K253" s="1128"/>
      <c r="L253" s="1129"/>
      <c r="M253" s="1129"/>
      <c r="N253" s="1128"/>
      <c r="O253" s="1128"/>
      <c r="P253" s="1129"/>
      <c r="Q253" s="1129"/>
      <c r="R253" s="1128"/>
      <c r="S253" s="1129"/>
      <c r="T253" s="1129"/>
      <c r="U253" s="1128"/>
      <c r="V253" s="1129"/>
      <c r="W253" s="1129"/>
    </row>
    <row r="254" spans="1:23" s="692" customFormat="1" ht="19.5" hidden="1" customHeight="1">
      <c r="A254" s="1124"/>
      <c r="B254" s="1125"/>
      <c r="C254" s="1126"/>
      <c r="D254" s="1127"/>
      <c r="E254" s="1124"/>
      <c r="F254" s="1124"/>
      <c r="G254" s="1125"/>
      <c r="H254" s="691">
        <v>0</v>
      </c>
      <c r="I254" s="691">
        <v>0</v>
      </c>
      <c r="J254" s="693">
        <f>K254+N254</f>
        <v>0</v>
      </c>
      <c r="K254" s="693">
        <f>L254+M254</f>
        <v>0</v>
      </c>
      <c r="L254" s="694">
        <v>0</v>
      </c>
      <c r="M254" s="694">
        <v>0</v>
      </c>
      <c r="N254" s="693">
        <f>O254+R254+U254</f>
        <v>0</v>
      </c>
      <c r="O254" s="693">
        <f>P254+Q254</f>
        <v>0</v>
      </c>
      <c r="P254" s="694">
        <v>0</v>
      </c>
      <c r="Q254" s="694">
        <v>0</v>
      </c>
      <c r="R254" s="693">
        <f>S254+T254</f>
        <v>0</v>
      </c>
      <c r="S254" s="694">
        <v>0</v>
      </c>
      <c r="T254" s="694">
        <v>0</v>
      </c>
      <c r="U254" s="693">
        <f>V254+W254</f>
        <v>0</v>
      </c>
      <c r="V254" s="694">
        <v>0</v>
      </c>
      <c r="W254" s="694">
        <v>0</v>
      </c>
    </row>
    <row r="255" spans="1:23" s="692" customFormat="1" ht="19.5" hidden="1" customHeight="1">
      <c r="A255" s="1124"/>
      <c r="B255" s="1125"/>
      <c r="C255" s="1126"/>
      <c r="D255" s="1127"/>
      <c r="E255" s="1124"/>
      <c r="F255" s="1124"/>
      <c r="G255" s="1125"/>
      <c r="H255" s="691">
        <v>3725202</v>
      </c>
      <c r="I255" s="691">
        <v>15941</v>
      </c>
      <c r="J255" s="1128">
        <f t="shared" ref="J255:W255" si="47">J252+J254</f>
        <v>410963</v>
      </c>
      <c r="K255" s="1128">
        <f t="shared" si="47"/>
        <v>67391</v>
      </c>
      <c r="L255" s="1129">
        <f t="shared" si="47"/>
        <v>67391</v>
      </c>
      <c r="M255" s="1129">
        <f t="shared" si="47"/>
        <v>0</v>
      </c>
      <c r="N255" s="1128">
        <f t="shared" si="47"/>
        <v>343572</v>
      </c>
      <c r="O255" s="1128">
        <f t="shared" si="47"/>
        <v>0</v>
      </c>
      <c r="P255" s="1129">
        <f t="shared" si="47"/>
        <v>0</v>
      </c>
      <c r="Q255" s="1129">
        <f t="shared" si="47"/>
        <v>0</v>
      </c>
      <c r="R255" s="1128">
        <f t="shared" si="47"/>
        <v>343572</v>
      </c>
      <c r="S255" s="1129">
        <f t="shared" si="47"/>
        <v>11894</v>
      </c>
      <c r="T255" s="1129">
        <f t="shared" si="47"/>
        <v>331678</v>
      </c>
      <c r="U255" s="1128">
        <f t="shared" si="47"/>
        <v>0</v>
      </c>
      <c r="V255" s="1129">
        <f t="shared" si="47"/>
        <v>0</v>
      </c>
      <c r="W255" s="1129">
        <f t="shared" si="47"/>
        <v>0</v>
      </c>
    </row>
    <row r="256" spans="1:23" s="692" customFormat="1" ht="19.5" hidden="1" customHeight="1">
      <c r="A256" s="1124"/>
      <c r="B256" s="1125"/>
      <c r="C256" s="1126"/>
      <c r="D256" s="1127"/>
      <c r="E256" s="1124"/>
      <c r="F256" s="1124"/>
      <c r="G256" s="1125"/>
      <c r="H256" s="691">
        <v>0</v>
      </c>
      <c r="I256" s="691">
        <v>0</v>
      </c>
      <c r="J256" s="1128"/>
      <c r="K256" s="1128"/>
      <c r="L256" s="1129"/>
      <c r="M256" s="1129"/>
      <c r="N256" s="1128"/>
      <c r="O256" s="1128"/>
      <c r="P256" s="1129"/>
      <c r="Q256" s="1129"/>
      <c r="R256" s="1128"/>
      <c r="S256" s="1129"/>
      <c r="T256" s="1129"/>
      <c r="U256" s="1128"/>
      <c r="V256" s="1129"/>
      <c r="W256" s="1129"/>
    </row>
    <row r="257" spans="1:23" s="692" customFormat="1" ht="15.75" hidden="1" customHeight="1">
      <c r="A257" s="1124">
        <v>17</v>
      </c>
      <c r="B257" s="1125" t="s">
        <v>837</v>
      </c>
      <c r="C257" s="1126" t="s">
        <v>838</v>
      </c>
      <c r="D257" s="1127" t="s">
        <v>839</v>
      </c>
      <c r="E257" s="1124" t="s">
        <v>840</v>
      </c>
      <c r="F257" s="1124" t="s">
        <v>797</v>
      </c>
      <c r="G257" s="1125" t="s">
        <v>774</v>
      </c>
      <c r="H257" s="691">
        <f>H258+H259+H260+H261</f>
        <v>3790056</v>
      </c>
      <c r="I257" s="691">
        <f>I258+I259+I260+I261</f>
        <v>68880</v>
      </c>
      <c r="J257" s="1128">
        <f>K257+N257</f>
        <v>1096071</v>
      </c>
      <c r="K257" s="1128">
        <f>L257+M257</f>
        <v>927594</v>
      </c>
      <c r="L257" s="1129">
        <v>47660</v>
      </c>
      <c r="M257" s="1129">
        <v>879934</v>
      </c>
      <c r="N257" s="1128">
        <f>O257+R257+U257</f>
        <v>168477</v>
      </c>
      <c r="O257" s="1128">
        <f>P257+Q257</f>
        <v>0</v>
      </c>
      <c r="P257" s="1129">
        <v>0</v>
      </c>
      <c r="Q257" s="1129">
        <v>0</v>
      </c>
      <c r="R257" s="1128">
        <f>S257+T257</f>
        <v>168477</v>
      </c>
      <c r="S257" s="1129">
        <v>8411</v>
      </c>
      <c r="T257" s="1129">
        <v>160066</v>
      </c>
      <c r="U257" s="1128">
        <f>V257+W257</f>
        <v>0</v>
      </c>
      <c r="V257" s="1129">
        <v>0</v>
      </c>
      <c r="W257" s="1129">
        <v>0</v>
      </c>
    </row>
    <row r="258" spans="1:23" s="692" customFormat="1" ht="15.75" hidden="1" customHeight="1">
      <c r="A258" s="1124"/>
      <c r="B258" s="1125"/>
      <c r="C258" s="1126"/>
      <c r="D258" s="1127"/>
      <c r="E258" s="1124"/>
      <c r="F258" s="1124"/>
      <c r="G258" s="1125"/>
      <c r="H258" s="691">
        <v>2839143</v>
      </c>
      <c r="I258" s="691">
        <v>58279</v>
      </c>
      <c r="J258" s="1128"/>
      <c r="K258" s="1128"/>
      <c r="L258" s="1129"/>
      <c r="M258" s="1129"/>
      <c r="N258" s="1128"/>
      <c r="O258" s="1128"/>
      <c r="P258" s="1129"/>
      <c r="Q258" s="1129"/>
      <c r="R258" s="1128"/>
      <c r="S258" s="1129"/>
      <c r="T258" s="1129"/>
      <c r="U258" s="1128"/>
      <c r="V258" s="1129"/>
      <c r="W258" s="1129"/>
    </row>
    <row r="259" spans="1:23" s="692" customFormat="1" ht="15.75" hidden="1" customHeight="1">
      <c r="A259" s="1124"/>
      <c r="B259" s="1125"/>
      <c r="C259" s="1126"/>
      <c r="D259" s="1127"/>
      <c r="E259" s="1124"/>
      <c r="F259" s="1124"/>
      <c r="G259" s="1125"/>
      <c r="H259" s="691">
        <v>0</v>
      </c>
      <c r="I259" s="691">
        <v>0</v>
      </c>
      <c r="J259" s="693">
        <f>K259+N259</f>
        <v>0</v>
      </c>
      <c r="K259" s="693">
        <f>L259+M259</f>
        <v>0</v>
      </c>
      <c r="L259" s="694">
        <v>0</v>
      </c>
      <c r="M259" s="694">
        <v>0</v>
      </c>
      <c r="N259" s="693">
        <f>O259+R259+U259</f>
        <v>0</v>
      </c>
      <c r="O259" s="693">
        <f>P259+Q259</f>
        <v>0</v>
      </c>
      <c r="P259" s="694">
        <v>0</v>
      </c>
      <c r="Q259" s="694">
        <v>0</v>
      </c>
      <c r="R259" s="693">
        <f>S259+T259</f>
        <v>0</v>
      </c>
      <c r="S259" s="694">
        <v>0</v>
      </c>
      <c r="T259" s="694">
        <v>0</v>
      </c>
      <c r="U259" s="693">
        <f>V259+W259</f>
        <v>0</v>
      </c>
      <c r="V259" s="694">
        <v>0</v>
      </c>
      <c r="W259" s="694">
        <v>0</v>
      </c>
    </row>
    <row r="260" spans="1:23" s="692" customFormat="1" ht="15.75" hidden="1" customHeight="1">
      <c r="A260" s="1124"/>
      <c r="B260" s="1125"/>
      <c r="C260" s="1126"/>
      <c r="D260" s="1127"/>
      <c r="E260" s="1124"/>
      <c r="F260" s="1124"/>
      <c r="G260" s="1125"/>
      <c r="H260" s="691">
        <v>950913</v>
      </c>
      <c r="I260" s="691">
        <v>10601</v>
      </c>
      <c r="J260" s="1128">
        <f t="shared" ref="J260:W260" si="48">J257+J259</f>
        <v>1096071</v>
      </c>
      <c r="K260" s="1128">
        <f t="shared" si="48"/>
        <v>927594</v>
      </c>
      <c r="L260" s="1129">
        <f t="shared" si="48"/>
        <v>47660</v>
      </c>
      <c r="M260" s="1129">
        <f t="shared" si="48"/>
        <v>879934</v>
      </c>
      <c r="N260" s="1128">
        <f t="shared" si="48"/>
        <v>168477</v>
      </c>
      <c r="O260" s="1128">
        <f t="shared" si="48"/>
        <v>0</v>
      </c>
      <c r="P260" s="1129">
        <f t="shared" si="48"/>
        <v>0</v>
      </c>
      <c r="Q260" s="1129">
        <f t="shared" si="48"/>
        <v>0</v>
      </c>
      <c r="R260" s="1128">
        <f t="shared" si="48"/>
        <v>168477</v>
      </c>
      <c r="S260" s="1129">
        <f t="shared" si="48"/>
        <v>8411</v>
      </c>
      <c r="T260" s="1129">
        <f t="shared" si="48"/>
        <v>160066</v>
      </c>
      <c r="U260" s="1128">
        <f t="shared" si="48"/>
        <v>0</v>
      </c>
      <c r="V260" s="1129">
        <f t="shared" si="48"/>
        <v>0</v>
      </c>
      <c r="W260" s="1129">
        <f t="shared" si="48"/>
        <v>0</v>
      </c>
    </row>
    <row r="261" spans="1:23" s="692" customFormat="1" ht="15.75" hidden="1" customHeight="1">
      <c r="A261" s="1124"/>
      <c r="B261" s="1125"/>
      <c r="C261" s="1126"/>
      <c r="D261" s="1127"/>
      <c r="E261" s="1124"/>
      <c r="F261" s="1124"/>
      <c r="G261" s="1125"/>
      <c r="H261" s="691">
        <v>0</v>
      </c>
      <c r="I261" s="691">
        <v>0</v>
      </c>
      <c r="J261" s="1128"/>
      <c r="K261" s="1128"/>
      <c r="L261" s="1129"/>
      <c r="M261" s="1129"/>
      <c r="N261" s="1128"/>
      <c r="O261" s="1128"/>
      <c r="P261" s="1129"/>
      <c r="Q261" s="1129"/>
      <c r="R261" s="1128"/>
      <c r="S261" s="1129"/>
      <c r="T261" s="1129"/>
      <c r="U261" s="1128"/>
      <c r="V261" s="1129"/>
      <c r="W261" s="1129"/>
    </row>
    <row r="262" spans="1:23" s="692" customFormat="1" ht="15.75" hidden="1" customHeight="1">
      <c r="A262" s="1124">
        <v>33</v>
      </c>
      <c r="B262" s="1125" t="s">
        <v>841</v>
      </c>
      <c r="C262" s="1126" t="s">
        <v>842</v>
      </c>
      <c r="D262" s="1127" t="s">
        <v>843</v>
      </c>
      <c r="E262" s="1124" t="s">
        <v>756</v>
      </c>
      <c r="F262" s="1124" t="s">
        <v>844</v>
      </c>
      <c r="G262" s="1125" t="s">
        <v>758</v>
      </c>
      <c r="H262" s="691">
        <f>H263+H264+H265+H266</f>
        <v>12276164</v>
      </c>
      <c r="I262" s="691">
        <f>I263+I264+I265+I266</f>
        <v>1329429</v>
      </c>
      <c r="J262" s="1128">
        <f>K262+N262</f>
        <v>8970842</v>
      </c>
      <c r="K262" s="1128">
        <f>L262+M262</f>
        <v>8026541</v>
      </c>
      <c r="L262" s="1129">
        <v>8026541</v>
      </c>
      <c r="M262" s="1129">
        <v>0</v>
      </c>
      <c r="N262" s="1128">
        <f>O262+R262+U262</f>
        <v>944301</v>
      </c>
      <c r="O262" s="1128">
        <f>P262+Q262</f>
        <v>944301</v>
      </c>
      <c r="P262" s="1129">
        <v>944301</v>
      </c>
      <c r="Q262" s="1129">
        <v>0</v>
      </c>
      <c r="R262" s="1128">
        <f>S262+T262</f>
        <v>0</v>
      </c>
      <c r="S262" s="1129">
        <v>0</v>
      </c>
      <c r="T262" s="1129">
        <v>0</v>
      </c>
      <c r="U262" s="1128">
        <f>V262+W262</f>
        <v>0</v>
      </c>
      <c r="V262" s="1129">
        <v>0</v>
      </c>
      <c r="W262" s="1129">
        <v>0</v>
      </c>
    </row>
    <row r="263" spans="1:23" s="692" customFormat="1" ht="15.75" hidden="1" customHeight="1">
      <c r="A263" s="1124"/>
      <c r="B263" s="1125"/>
      <c r="C263" s="1126"/>
      <c r="D263" s="1127"/>
      <c r="E263" s="1124"/>
      <c r="F263" s="1124"/>
      <c r="G263" s="1125"/>
      <c r="H263" s="691">
        <v>10983936</v>
      </c>
      <c r="I263" s="691">
        <v>1189489</v>
      </c>
      <c r="J263" s="1128"/>
      <c r="K263" s="1128"/>
      <c r="L263" s="1129"/>
      <c r="M263" s="1129"/>
      <c r="N263" s="1128"/>
      <c r="O263" s="1128"/>
      <c r="P263" s="1129"/>
      <c r="Q263" s="1129"/>
      <c r="R263" s="1128"/>
      <c r="S263" s="1129"/>
      <c r="T263" s="1129"/>
      <c r="U263" s="1128"/>
      <c r="V263" s="1129"/>
      <c r="W263" s="1129"/>
    </row>
    <row r="264" spans="1:23" s="692" customFormat="1" ht="15.75" hidden="1" customHeight="1">
      <c r="A264" s="1124"/>
      <c r="B264" s="1125"/>
      <c r="C264" s="1126"/>
      <c r="D264" s="1127"/>
      <c r="E264" s="1124"/>
      <c r="F264" s="1124"/>
      <c r="G264" s="1125"/>
      <c r="H264" s="691">
        <v>1292228</v>
      </c>
      <c r="I264" s="691">
        <v>139940</v>
      </c>
      <c r="J264" s="693">
        <f>K264+N264</f>
        <v>0</v>
      </c>
      <c r="K264" s="693">
        <f>L264+M264</f>
        <v>0</v>
      </c>
      <c r="L264" s="694">
        <v>0</v>
      </c>
      <c r="M264" s="694">
        <v>0</v>
      </c>
      <c r="N264" s="693">
        <f>O264+R264+U264</f>
        <v>0</v>
      </c>
      <c r="O264" s="693">
        <f>P264+Q264</f>
        <v>0</v>
      </c>
      <c r="P264" s="694">
        <v>0</v>
      </c>
      <c r="Q264" s="694">
        <v>0</v>
      </c>
      <c r="R264" s="693">
        <f>S264+T264</f>
        <v>0</v>
      </c>
      <c r="S264" s="694">
        <v>0</v>
      </c>
      <c r="T264" s="694">
        <v>0</v>
      </c>
      <c r="U264" s="693">
        <f>V264+W264</f>
        <v>0</v>
      </c>
      <c r="V264" s="694">
        <v>0</v>
      </c>
      <c r="W264" s="694">
        <v>0</v>
      </c>
    </row>
    <row r="265" spans="1:23" s="692" customFormat="1" ht="15.75" hidden="1" customHeight="1">
      <c r="A265" s="1124"/>
      <c r="B265" s="1125"/>
      <c r="C265" s="1126"/>
      <c r="D265" s="1127"/>
      <c r="E265" s="1124"/>
      <c r="F265" s="1124"/>
      <c r="G265" s="1125"/>
      <c r="H265" s="691">
        <v>0</v>
      </c>
      <c r="I265" s="691">
        <v>0</v>
      </c>
      <c r="J265" s="1128">
        <f t="shared" ref="J265:W265" si="49">J262+J264</f>
        <v>8970842</v>
      </c>
      <c r="K265" s="1128">
        <f t="shared" si="49"/>
        <v>8026541</v>
      </c>
      <c r="L265" s="1129">
        <f t="shared" si="49"/>
        <v>8026541</v>
      </c>
      <c r="M265" s="1129">
        <f t="shared" si="49"/>
        <v>0</v>
      </c>
      <c r="N265" s="1128">
        <f t="shared" si="49"/>
        <v>944301</v>
      </c>
      <c r="O265" s="1128">
        <f t="shared" si="49"/>
        <v>944301</v>
      </c>
      <c r="P265" s="1129">
        <f t="shared" si="49"/>
        <v>944301</v>
      </c>
      <c r="Q265" s="1129">
        <f t="shared" si="49"/>
        <v>0</v>
      </c>
      <c r="R265" s="1128">
        <f t="shared" si="49"/>
        <v>0</v>
      </c>
      <c r="S265" s="1129">
        <f t="shared" si="49"/>
        <v>0</v>
      </c>
      <c r="T265" s="1129">
        <f t="shared" si="49"/>
        <v>0</v>
      </c>
      <c r="U265" s="1128">
        <f t="shared" si="49"/>
        <v>0</v>
      </c>
      <c r="V265" s="1129">
        <f t="shared" si="49"/>
        <v>0</v>
      </c>
      <c r="W265" s="1129">
        <f t="shared" si="49"/>
        <v>0</v>
      </c>
    </row>
    <row r="266" spans="1:23" s="692" customFormat="1" ht="15.75" hidden="1" customHeight="1">
      <c r="A266" s="1124"/>
      <c r="B266" s="1125"/>
      <c r="C266" s="1126"/>
      <c r="D266" s="1127"/>
      <c r="E266" s="1124"/>
      <c r="F266" s="1124"/>
      <c r="G266" s="1125"/>
      <c r="H266" s="691">
        <v>0</v>
      </c>
      <c r="I266" s="691">
        <v>0</v>
      </c>
      <c r="J266" s="1128"/>
      <c r="K266" s="1128"/>
      <c r="L266" s="1129"/>
      <c r="M266" s="1129"/>
      <c r="N266" s="1128"/>
      <c r="O266" s="1128"/>
      <c r="P266" s="1129"/>
      <c r="Q266" s="1129"/>
      <c r="R266" s="1128"/>
      <c r="S266" s="1129"/>
      <c r="T266" s="1129"/>
      <c r="U266" s="1128"/>
      <c r="V266" s="1129"/>
      <c r="W266" s="1129"/>
    </row>
    <row r="267" spans="1:23" s="692" customFormat="1" ht="15.75" hidden="1" customHeight="1">
      <c r="A267" s="1124">
        <v>34</v>
      </c>
      <c r="B267" s="1125" t="s">
        <v>845</v>
      </c>
      <c r="C267" s="1126" t="s">
        <v>846</v>
      </c>
      <c r="D267" s="1127" t="s">
        <v>847</v>
      </c>
      <c r="E267" s="1124" t="s">
        <v>733</v>
      </c>
      <c r="F267" s="1124" t="s">
        <v>824</v>
      </c>
      <c r="G267" s="1125" t="s">
        <v>738</v>
      </c>
      <c r="H267" s="691">
        <f>H268+H269+H270+H271</f>
        <v>999054</v>
      </c>
      <c r="I267" s="691">
        <f>I268+I269+I270+I271</f>
        <v>557485</v>
      </c>
      <c r="J267" s="1128">
        <f>K267+N267</f>
        <v>441569</v>
      </c>
      <c r="K267" s="1128">
        <f>L267+M267</f>
        <v>375334</v>
      </c>
      <c r="L267" s="1129">
        <v>375334</v>
      </c>
      <c r="M267" s="1129">
        <v>0</v>
      </c>
      <c r="N267" s="1128">
        <f>O267+R267+U267</f>
        <v>66235</v>
      </c>
      <c r="O267" s="1128">
        <f>P267+Q267</f>
        <v>44157</v>
      </c>
      <c r="P267" s="1129">
        <v>44157</v>
      </c>
      <c r="Q267" s="1129">
        <v>0</v>
      </c>
      <c r="R267" s="1128">
        <f>S267+T267</f>
        <v>22078</v>
      </c>
      <c r="S267" s="1129">
        <v>22078</v>
      </c>
      <c r="T267" s="1129">
        <v>0</v>
      </c>
      <c r="U267" s="1128">
        <f>V267+W267</f>
        <v>0</v>
      </c>
      <c r="V267" s="1129">
        <v>0</v>
      </c>
      <c r="W267" s="1129">
        <v>0</v>
      </c>
    </row>
    <row r="268" spans="1:23" s="692" customFormat="1" ht="15.75" hidden="1" customHeight="1">
      <c r="A268" s="1124"/>
      <c r="B268" s="1125"/>
      <c r="C268" s="1126"/>
      <c r="D268" s="1127"/>
      <c r="E268" s="1124"/>
      <c r="F268" s="1124"/>
      <c r="G268" s="1125"/>
      <c r="H268" s="691">
        <v>849196</v>
      </c>
      <c r="I268" s="691">
        <v>473862</v>
      </c>
      <c r="J268" s="1128"/>
      <c r="K268" s="1128"/>
      <c r="L268" s="1129"/>
      <c r="M268" s="1129"/>
      <c r="N268" s="1128"/>
      <c r="O268" s="1128"/>
      <c r="P268" s="1129"/>
      <c r="Q268" s="1129"/>
      <c r="R268" s="1128"/>
      <c r="S268" s="1129"/>
      <c r="T268" s="1129"/>
      <c r="U268" s="1128"/>
      <c r="V268" s="1129"/>
      <c r="W268" s="1129"/>
    </row>
    <row r="269" spans="1:23" s="692" customFormat="1" ht="15.75" hidden="1" customHeight="1">
      <c r="A269" s="1124"/>
      <c r="B269" s="1125"/>
      <c r="C269" s="1126"/>
      <c r="D269" s="1127"/>
      <c r="E269" s="1124"/>
      <c r="F269" s="1124"/>
      <c r="G269" s="1125"/>
      <c r="H269" s="691">
        <v>99905</v>
      </c>
      <c r="I269" s="691">
        <v>55748</v>
      </c>
      <c r="J269" s="693">
        <f>K269+N269</f>
        <v>0</v>
      </c>
      <c r="K269" s="693">
        <f>L269+M269</f>
        <v>0</v>
      </c>
      <c r="L269" s="694">
        <v>0</v>
      </c>
      <c r="M269" s="694">
        <v>0</v>
      </c>
      <c r="N269" s="693">
        <f>O269+R269+U269</f>
        <v>0</v>
      </c>
      <c r="O269" s="693">
        <f>P269+Q269</f>
        <v>0</v>
      </c>
      <c r="P269" s="694">
        <v>0</v>
      </c>
      <c r="Q269" s="694">
        <v>0</v>
      </c>
      <c r="R269" s="693">
        <f>S269+T269</f>
        <v>0</v>
      </c>
      <c r="S269" s="694">
        <v>0</v>
      </c>
      <c r="T269" s="694">
        <v>0</v>
      </c>
      <c r="U269" s="693">
        <f>V269+W269</f>
        <v>0</v>
      </c>
      <c r="V269" s="694">
        <v>0</v>
      </c>
      <c r="W269" s="694">
        <v>0</v>
      </c>
    </row>
    <row r="270" spans="1:23" s="692" customFormat="1" ht="15.75" hidden="1" customHeight="1">
      <c r="A270" s="1124"/>
      <c r="B270" s="1125"/>
      <c r="C270" s="1126"/>
      <c r="D270" s="1127"/>
      <c r="E270" s="1124"/>
      <c r="F270" s="1124"/>
      <c r="G270" s="1125"/>
      <c r="H270" s="691">
        <v>49953</v>
      </c>
      <c r="I270" s="691">
        <v>27875</v>
      </c>
      <c r="J270" s="1128">
        <f t="shared" ref="J270:W270" si="50">J267+J269</f>
        <v>441569</v>
      </c>
      <c r="K270" s="1128">
        <f t="shared" si="50"/>
        <v>375334</v>
      </c>
      <c r="L270" s="1129">
        <f t="shared" si="50"/>
        <v>375334</v>
      </c>
      <c r="M270" s="1129">
        <f t="shared" si="50"/>
        <v>0</v>
      </c>
      <c r="N270" s="1128">
        <f t="shared" si="50"/>
        <v>66235</v>
      </c>
      <c r="O270" s="1128">
        <f t="shared" si="50"/>
        <v>44157</v>
      </c>
      <c r="P270" s="1129">
        <f t="shared" si="50"/>
        <v>44157</v>
      </c>
      <c r="Q270" s="1129">
        <f t="shared" si="50"/>
        <v>0</v>
      </c>
      <c r="R270" s="1128">
        <f t="shared" si="50"/>
        <v>22078</v>
      </c>
      <c r="S270" s="1129">
        <f t="shared" si="50"/>
        <v>22078</v>
      </c>
      <c r="T270" s="1129">
        <f t="shared" si="50"/>
        <v>0</v>
      </c>
      <c r="U270" s="1128">
        <f t="shared" si="50"/>
        <v>0</v>
      </c>
      <c r="V270" s="1129">
        <f t="shared" si="50"/>
        <v>0</v>
      </c>
      <c r="W270" s="1129">
        <f t="shared" si="50"/>
        <v>0</v>
      </c>
    </row>
    <row r="271" spans="1:23" s="692" customFormat="1" ht="15.75" hidden="1" customHeight="1">
      <c r="A271" s="1124"/>
      <c r="B271" s="1125"/>
      <c r="C271" s="1126"/>
      <c r="D271" s="1127"/>
      <c r="E271" s="1124"/>
      <c r="F271" s="1124"/>
      <c r="G271" s="1125"/>
      <c r="H271" s="691">
        <v>0</v>
      </c>
      <c r="I271" s="691">
        <v>0</v>
      </c>
      <c r="J271" s="1128"/>
      <c r="K271" s="1128"/>
      <c r="L271" s="1129"/>
      <c r="M271" s="1129"/>
      <c r="N271" s="1128"/>
      <c r="O271" s="1128"/>
      <c r="P271" s="1129"/>
      <c r="Q271" s="1129"/>
      <c r="R271" s="1128"/>
      <c r="S271" s="1129"/>
      <c r="T271" s="1129"/>
      <c r="U271" s="1128"/>
      <c r="V271" s="1129"/>
      <c r="W271" s="1129"/>
    </row>
    <row r="272" spans="1:23" s="692" customFormat="1" ht="15.75" hidden="1" customHeight="1">
      <c r="A272" s="1124">
        <v>35</v>
      </c>
      <c r="B272" s="1125" t="s">
        <v>845</v>
      </c>
      <c r="C272" s="1126" t="s">
        <v>846</v>
      </c>
      <c r="D272" s="1136" t="s">
        <v>848</v>
      </c>
      <c r="E272" s="1139" t="s">
        <v>849</v>
      </c>
      <c r="F272" s="1139" t="s">
        <v>850</v>
      </c>
      <c r="G272" s="1130" t="s">
        <v>851</v>
      </c>
      <c r="H272" s="691">
        <f>H273+H274+H275+H276</f>
        <v>427204</v>
      </c>
      <c r="I272" s="691">
        <f>I273+I274+I275+I276</f>
        <v>0</v>
      </c>
      <c r="J272" s="1128">
        <f>K272+N272</f>
        <v>376646</v>
      </c>
      <c r="K272" s="1128">
        <f>L272+M272</f>
        <v>337000</v>
      </c>
      <c r="L272" s="1129">
        <v>311679</v>
      </c>
      <c r="M272" s="1129">
        <v>25321</v>
      </c>
      <c r="N272" s="1128">
        <f>O272+R272+U272</f>
        <v>39646</v>
      </c>
      <c r="O272" s="1128">
        <f>P272+Q272</f>
        <v>39646</v>
      </c>
      <c r="P272" s="1129">
        <v>36667</v>
      </c>
      <c r="Q272" s="1129">
        <v>2979</v>
      </c>
      <c r="R272" s="1128">
        <f>S272+T272</f>
        <v>0</v>
      </c>
      <c r="S272" s="1129">
        <v>0</v>
      </c>
      <c r="T272" s="1129">
        <v>0</v>
      </c>
      <c r="U272" s="1128">
        <f>V272+W272</f>
        <v>0</v>
      </c>
      <c r="V272" s="1129">
        <v>0</v>
      </c>
      <c r="W272" s="1129">
        <v>0</v>
      </c>
    </row>
    <row r="273" spans="1:23" s="692" customFormat="1" ht="15.75" hidden="1" customHeight="1">
      <c r="A273" s="1124"/>
      <c r="B273" s="1125"/>
      <c r="C273" s="1126"/>
      <c r="D273" s="1137"/>
      <c r="E273" s="1140"/>
      <c r="F273" s="1140"/>
      <c r="G273" s="1131"/>
      <c r="H273" s="691">
        <v>382236</v>
      </c>
      <c r="I273" s="691">
        <v>0</v>
      </c>
      <c r="J273" s="1128"/>
      <c r="K273" s="1128"/>
      <c r="L273" s="1129"/>
      <c r="M273" s="1129"/>
      <c r="N273" s="1128"/>
      <c r="O273" s="1128"/>
      <c r="P273" s="1129"/>
      <c r="Q273" s="1129"/>
      <c r="R273" s="1128"/>
      <c r="S273" s="1129"/>
      <c r="T273" s="1129"/>
      <c r="U273" s="1128"/>
      <c r="V273" s="1129"/>
      <c r="W273" s="1129"/>
    </row>
    <row r="274" spans="1:23" s="692" customFormat="1" ht="15.75" hidden="1" customHeight="1">
      <c r="A274" s="1124"/>
      <c r="B274" s="1125"/>
      <c r="C274" s="1126"/>
      <c r="D274" s="1137"/>
      <c r="E274" s="1140"/>
      <c r="F274" s="1140"/>
      <c r="G274" s="1131"/>
      <c r="H274" s="691">
        <v>44968</v>
      </c>
      <c r="I274" s="691">
        <v>0</v>
      </c>
      <c r="J274" s="693">
        <f>K274+N274</f>
        <v>0</v>
      </c>
      <c r="K274" s="693">
        <f>L274+M274</f>
        <v>0</v>
      </c>
      <c r="L274" s="694">
        <v>0</v>
      </c>
      <c r="M274" s="694">
        <v>0</v>
      </c>
      <c r="N274" s="693">
        <f>O274+R274+U274</f>
        <v>0</v>
      </c>
      <c r="O274" s="693">
        <f>P274+Q274</f>
        <v>0</v>
      </c>
      <c r="P274" s="694">
        <v>0</v>
      </c>
      <c r="Q274" s="694">
        <v>0</v>
      </c>
      <c r="R274" s="693">
        <f>S274+T274</f>
        <v>0</v>
      </c>
      <c r="S274" s="694">
        <v>0</v>
      </c>
      <c r="T274" s="694">
        <v>0</v>
      </c>
      <c r="U274" s="693">
        <f>V274+W274</f>
        <v>0</v>
      </c>
      <c r="V274" s="694">
        <v>0</v>
      </c>
      <c r="W274" s="694">
        <v>0</v>
      </c>
    </row>
    <row r="275" spans="1:23" s="692" customFormat="1" ht="15.75" hidden="1" customHeight="1">
      <c r="A275" s="1124"/>
      <c r="B275" s="1125"/>
      <c r="C275" s="1126"/>
      <c r="D275" s="1137"/>
      <c r="E275" s="1140"/>
      <c r="F275" s="1140"/>
      <c r="G275" s="1131"/>
      <c r="H275" s="691">
        <v>0</v>
      </c>
      <c r="I275" s="691">
        <v>0</v>
      </c>
      <c r="J275" s="1128">
        <f t="shared" ref="J275:W275" si="51">J272+J274</f>
        <v>376646</v>
      </c>
      <c r="K275" s="1128">
        <f t="shared" si="51"/>
        <v>337000</v>
      </c>
      <c r="L275" s="1129">
        <f t="shared" si="51"/>
        <v>311679</v>
      </c>
      <c r="M275" s="1129">
        <f t="shared" si="51"/>
        <v>25321</v>
      </c>
      <c r="N275" s="1128">
        <f t="shared" si="51"/>
        <v>39646</v>
      </c>
      <c r="O275" s="1128">
        <f t="shared" si="51"/>
        <v>39646</v>
      </c>
      <c r="P275" s="1129">
        <f t="shared" si="51"/>
        <v>36667</v>
      </c>
      <c r="Q275" s="1129">
        <f t="shared" si="51"/>
        <v>2979</v>
      </c>
      <c r="R275" s="1128">
        <f t="shared" si="51"/>
        <v>0</v>
      </c>
      <c r="S275" s="1129">
        <f t="shared" si="51"/>
        <v>0</v>
      </c>
      <c r="T275" s="1129">
        <f t="shared" si="51"/>
        <v>0</v>
      </c>
      <c r="U275" s="1128">
        <f t="shared" si="51"/>
        <v>0</v>
      </c>
      <c r="V275" s="1129">
        <f t="shared" si="51"/>
        <v>0</v>
      </c>
      <c r="W275" s="1129">
        <f t="shared" si="51"/>
        <v>0</v>
      </c>
    </row>
    <row r="276" spans="1:23" s="692" customFormat="1" ht="15.75" hidden="1" customHeight="1">
      <c r="A276" s="1124"/>
      <c r="B276" s="1125"/>
      <c r="C276" s="1126"/>
      <c r="D276" s="1138"/>
      <c r="E276" s="1141"/>
      <c r="F276" s="1141"/>
      <c r="G276" s="1132"/>
      <c r="H276" s="691">
        <v>0</v>
      </c>
      <c r="I276" s="691">
        <v>0</v>
      </c>
      <c r="J276" s="1128"/>
      <c r="K276" s="1128"/>
      <c r="L276" s="1129"/>
      <c r="M276" s="1129"/>
      <c r="N276" s="1128"/>
      <c r="O276" s="1128"/>
      <c r="P276" s="1129"/>
      <c r="Q276" s="1129"/>
      <c r="R276" s="1128"/>
      <c r="S276" s="1129"/>
      <c r="T276" s="1129"/>
      <c r="U276" s="1128"/>
      <c r="V276" s="1129"/>
      <c r="W276" s="1129"/>
    </row>
    <row r="277" spans="1:23" s="692" customFormat="1" ht="15.75" hidden="1" customHeight="1">
      <c r="A277" s="1124">
        <v>36</v>
      </c>
      <c r="B277" s="1125" t="s">
        <v>845</v>
      </c>
      <c r="C277" s="1126" t="s">
        <v>846</v>
      </c>
      <c r="D277" s="1136" t="s">
        <v>852</v>
      </c>
      <c r="E277" s="1124" t="s">
        <v>733</v>
      </c>
      <c r="F277" s="1139" t="s">
        <v>853</v>
      </c>
      <c r="G277" s="1130" t="s">
        <v>854</v>
      </c>
      <c r="H277" s="691">
        <f>H278+H279+H280+H281</f>
        <v>0</v>
      </c>
      <c r="I277" s="691">
        <f>I278+I279+I280+I281</f>
        <v>0</v>
      </c>
      <c r="J277" s="1128">
        <f>K277+N277</f>
        <v>0</v>
      </c>
      <c r="K277" s="1128">
        <f>L277+M277</f>
        <v>0</v>
      </c>
      <c r="L277" s="1129">
        <v>0</v>
      </c>
      <c r="M277" s="1129">
        <v>0</v>
      </c>
      <c r="N277" s="1128">
        <f>O277+R277+U277</f>
        <v>0</v>
      </c>
      <c r="O277" s="1128">
        <f>P277+Q277</f>
        <v>0</v>
      </c>
      <c r="P277" s="1129">
        <v>0</v>
      </c>
      <c r="Q277" s="1129">
        <v>0</v>
      </c>
      <c r="R277" s="1128">
        <f>S277+T277</f>
        <v>0</v>
      </c>
      <c r="S277" s="1129">
        <v>0</v>
      </c>
      <c r="T277" s="1129">
        <v>0</v>
      </c>
      <c r="U277" s="1128">
        <f>V277+W277</f>
        <v>0</v>
      </c>
      <c r="V277" s="1129">
        <v>0</v>
      </c>
      <c r="W277" s="1129">
        <v>0</v>
      </c>
    </row>
    <row r="278" spans="1:23" s="692" customFormat="1" ht="15.75" hidden="1" customHeight="1">
      <c r="A278" s="1124"/>
      <c r="B278" s="1125"/>
      <c r="C278" s="1126"/>
      <c r="D278" s="1137"/>
      <c r="E278" s="1124"/>
      <c r="F278" s="1140"/>
      <c r="G278" s="1131"/>
      <c r="H278" s="691">
        <v>0</v>
      </c>
      <c r="I278" s="691">
        <v>0</v>
      </c>
      <c r="J278" s="1128"/>
      <c r="K278" s="1128"/>
      <c r="L278" s="1129"/>
      <c r="M278" s="1129"/>
      <c r="N278" s="1128"/>
      <c r="O278" s="1128"/>
      <c r="P278" s="1129"/>
      <c r="Q278" s="1129"/>
      <c r="R278" s="1128"/>
      <c r="S278" s="1129"/>
      <c r="T278" s="1129"/>
      <c r="U278" s="1128"/>
      <c r="V278" s="1129"/>
      <c r="W278" s="1129"/>
    </row>
    <row r="279" spans="1:23" s="692" customFormat="1" ht="15.75" hidden="1" customHeight="1">
      <c r="A279" s="1124"/>
      <c r="B279" s="1125"/>
      <c r="C279" s="1126"/>
      <c r="D279" s="1137"/>
      <c r="E279" s="1124"/>
      <c r="F279" s="1140"/>
      <c r="G279" s="1131"/>
      <c r="H279" s="691">
        <v>0</v>
      </c>
      <c r="I279" s="691">
        <v>0</v>
      </c>
      <c r="J279" s="693">
        <f>K279+N279</f>
        <v>0</v>
      </c>
      <c r="K279" s="693">
        <f>L279+M279</f>
        <v>0</v>
      </c>
      <c r="L279" s="694">
        <v>0</v>
      </c>
      <c r="M279" s="694">
        <v>0</v>
      </c>
      <c r="N279" s="693">
        <f>O279+R279+U279</f>
        <v>0</v>
      </c>
      <c r="O279" s="693">
        <f>P279+Q279</f>
        <v>0</v>
      </c>
      <c r="P279" s="694">
        <v>0</v>
      </c>
      <c r="Q279" s="694">
        <v>0</v>
      </c>
      <c r="R279" s="693">
        <f>S279+T279</f>
        <v>0</v>
      </c>
      <c r="S279" s="694">
        <v>0</v>
      </c>
      <c r="T279" s="694">
        <v>0</v>
      </c>
      <c r="U279" s="693">
        <f>V279+W279</f>
        <v>0</v>
      </c>
      <c r="V279" s="694">
        <v>0</v>
      </c>
      <c r="W279" s="694">
        <v>0</v>
      </c>
    </row>
    <row r="280" spans="1:23" s="692" customFormat="1" ht="15.75" hidden="1" customHeight="1">
      <c r="A280" s="1124"/>
      <c r="B280" s="1125"/>
      <c r="C280" s="1126"/>
      <c r="D280" s="1137"/>
      <c r="E280" s="1124"/>
      <c r="F280" s="1140"/>
      <c r="G280" s="1131"/>
      <c r="H280" s="691">
        <v>0</v>
      </c>
      <c r="I280" s="691">
        <v>0</v>
      </c>
      <c r="J280" s="1128">
        <f t="shared" ref="J280:W280" si="52">J277+J279</f>
        <v>0</v>
      </c>
      <c r="K280" s="1128">
        <f t="shared" si="52"/>
        <v>0</v>
      </c>
      <c r="L280" s="1129">
        <f t="shared" si="52"/>
        <v>0</v>
      </c>
      <c r="M280" s="1129">
        <f t="shared" si="52"/>
        <v>0</v>
      </c>
      <c r="N280" s="1128">
        <f t="shared" si="52"/>
        <v>0</v>
      </c>
      <c r="O280" s="1128">
        <f t="shared" si="52"/>
        <v>0</v>
      </c>
      <c r="P280" s="1129">
        <f t="shared" si="52"/>
        <v>0</v>
      </c>
      <c r="Q280" s="1129">
        <f t="shared" si="52"/>
        <v>0</v>
      </c>
      <c r="R280" s="1128">
        <f t="shared" si="52"/>
        <v>0</v>
      </c>
      <c r="S280" s="1129">
        <f t="shared" si="52"/>
        <v>0</v>
      </c>
      <c r="T280" s="1129">
        <f t="shared" si="52"/>
        <v>0</v>
      </c>
      <c r="U280" s="1128">
        <f t="shared" si="52"/>
        <v>0</v>
      </c>
      <c r="V280" s="1129">
        <f t="shared" si="52"/>
        <v>0</v>
      </c>
      <c r="W280" s="1129">
        <f t="shared" si="52"/>
        <v>0</v>
      </c>
    </row>
    <row r="281" spans="1:23" s="692" customFormat="1" ht="15.75" hidden="1" customHeight="1">
      <c r="A281" s="1124"/>
      <c r="B281" s="1125"/>
      <c r="C281" s="1126"/>
      <c r="D281" s="1138"/>
      <c r="E281" s="1124"/>
      <c r="F281" s="1141"/>
      <c r="G281" s="1132"/>
      <c r="H281" s="691">
        <v>0</v>
      </c>
      <c r="I281" s="691">
        <v>0</v>
      </c>
      <c r="J281" s="1128"/>
      <c r="K281" s="1128"/>
      <c r="L281" s="1129"/>
      <c r="M281" s="1129"/>
      <c r="N281" s="1128"/>
      <c r="O281" s="1128"/>
      <c r="P281" s="1129"/>
      <c r="Q281" s="1129"/>
      <c r="R281" s="1128"/>
      <c r="S281" s="1129"/>
      <c r="T281" s="1129"/>
      <c r="U281" s="1128"/>
      <c r="V281" s="1129"/>
      <c r="W281" s="1129"/>
    </row>
    <row r="282" spans="1:23" s="692" customFormat="1" ht="15.75" hidden="1" customHeight="1">
      <c r="A282" s="1124">
        <v>14</v>
      </c>
      <c r="B282" s="1130" t="s">
        <v>680</v>
      </c>
      <c r="C282" s="1126" t="s">
        <v>855</v>
      </c>
      <c r="D282" s="1136" t="s">
        <v>856</v>
      </c>
      <c r="E282" s="1124" t="s">
        <v>756</v>
      </c>
      <c r="F282" s="1139" t="s">
        <v>857</v>
      </c>
      <c r="G282" s="1130" t="s">
        <v>740</v>
      </c>
      <c r="H282" s="691">
        <f>H283+H284+H285+H286</f>
        <v>4691046</v>
      </c>
      <c r="I282" s="691">
        <f>I283+I284+I285+I286</f>
        <v>1810672</v>
      </c>
      <c r="J282" s="1128">
        <f>K282+N282</f>
        <v>1749187</v>
      </c>
      <c r="K282" s="1128">
        <f>L282+M282</f>
        <v>1565062</v>
      </c>
      <c r="L282" s="1129">
        <v>1565062</v>
      </c>
      <c r="M282" s="1129">
        <v>0</v>
      </c>
      <c r="N282" s="1128">
        <f>O282+R282+U282</f>
        <v>184125</v>
      </c>
      <c r="O282" s="1128">
        <f>P282+Q282</f>
        <v>184125</v>
      </c>
      <c r="P282" s="1129">
        <v>184125</v>
      </c>
      <c r="Q282" s="1129">
        <v>0</v>
      </c>
      <c r="R282" s="1128">
        <f>S282+T282</f>
        <v>0</v>
      </c>
      <c r="S282" s="1129">
        <v>0</v>
      </c>
      <c r="T282" s="1129">
        <v>0</v>
      </c>
      <c r="U282" s="1128">
        <f>V282+W282</f>
        <v>0</v>
      </c>
      <c r="V282" s="1129">
        <v>0</v>
      </c>
      <c r="W282" s="1129">
        <v>0</v>
      </c>
    </row>
    <row r="283" spans="1:23" s="692" customFormat="1" ht="15.75" hidden="1" customHeight="1">
      <c r="A283" s="1124"/>
      <c r="B283" s="1131"/>
      <c r="C283" s="1126"/>
      <c r="D283" s="1137"/>
      <c r="E283" s="1124"/>
      <c r="F283" s="1140"/>
      <c r="G283" s="1131"/>
      <c r="H283" s="691">
        <v>4197251</v>
      </c>
      <c r="I283" s="691">
        <v>1620075</v>
      </c>
      <c r="J283" s="1128"/>
      <c r="K283" s="1128"/>
      <c r="L283" s="1129"/>
      <c r="M283" s="1129"/>
      <c r="N283" s="1128"/>
      <c r="O283" s="1128"/>
      <c r="P283" s="1129"/>
      <c r="Q283" s="1129"/>
      <c r="R283" s="1128"/>
      <c r="S283" s="1129"/>
      <c r="T283" s="1129"/>
      <c r="U283" s="1128"/>
      <c r="V283" s="1129"/>
      <c r="W283" s="1129"/>
    </row>
    <row r="284" spans="1:23" s="692" customFormat="1" ht="15.75" hidden="1" customHeight="1">
      <c r="A284" s="1124"/>
      <c r="B284" s="1131"/>
      <c r="C284" s="1126"/>
      <c r="D284" s="1137"/>
      <c r="E284" s="1124"/>
      <c r="F284" s="1140"/>
      <c r="G284" s="1131"/>
      <c r="H284" s="691">
        <v>493795</v>
      </c>
      <c r="I284" s="691">
        <v>190597</v>
      </c>
      <c r="J284" s="693">
        <f>K284+N284</f>
        <v>0</v>
      </c>
      <c r="K284" s="693">
        <f>L284+M284</f>
        <v>0</v>
      </c>
      <c r="L284" s="694">
        <v>0</v>
      </c>
      <c r="M284" s="694">
        <v>0</v>
      </c>
      <c r="N284" s="693">
        <f>O284+R284+U284</f>
        <v>0</v>
      </c>
      <c r="O284" s="693">
        <f>P284+Q284</f>
        <v>0</v>
      </c>
      <c r="P284" s="694">
        <v>0</v>
      </c>
      <c r="Q284" s="694">
        <v>0</v>
      </c>
      <c r="R284" s="693">
        <f>S284+T284</f>
        <v>0</v>
      </c>
      <c r="S284" s="694">
        <v>0</v>
      </c>
      <c r="T284" s="694">
        <v>0</v>
      </c>
      <c r="U284" s="693">
        <f>V284+W284</f>
        <v>0</v>
      </c>
      <c r="V284" s="694">
        <v>0</v>
      </c>
      <c r="W284" s="694">
        <v>0</v>
      </c>
    </row>
    <row r="285" spans="1:23" s="692" customFormat="1" ht="15.75" hidden="1" customHeight="1">
      <c r="A285" s="1124"/>
      <c r="B285" s="1131"/>
      <c r="C285" s="1126"/>
      <c r="D285" s="1137"/>
      <c r="E285" s="1124"/>
      <c r="F285" s="1140"/>
      <c r="G285" s="1131"/>
      <c r="H285" s="691">
        <v>0</v>
      </c>
      <c r="I285" s="691">
        <v>0</v>
      </c>
      <c r="J285" s="1128">
        <f t="shared" ref="J285:W285" si="53">J282+J284</f>
        <v>1749187</v>
      </c>
      <c r="K285" s="1128">
        <f t="shared" si="53"/>
        <v>1565062</v>
      </c>
      <c r="L285" s="1129">
        <f t="shared" si="53"/>
        <v>1565062</v>
      </c>
      <c r="M285" s="1129">
        <f t="shared" si="53"/>
        <v>0</v>
      </c>
      <c r="N285" s="1128">
        <f t="shared" si="53"/>
        <v>184125</v>
      </c>
      <c r="O285" s="1128">
        <f t="shared" si="53"/>
        <v>184125</v>
      </c>
      <c r="P285" s="1129">
        <f t="shared" si="53"/>
        <v>184125</v>
      </c>
      <c r="Q285" s="1129">
        <f t="shared" si="53"/>
        <v>0</v>
      </c>
      <c r="R285" s="1128">
        <f t="shared" si="53"/>
        <v>0</v>
      </c>
      <c r="S285" s="1129">
        <f t="shared" si="53"/>
        <v>0</v>
      </c>
      <c r="T285" s="1129">
        <f t="shared" si="53"/>
        <v>0</v>
      </c>
      <c r="U285" s="1128">
        <f t="shared" si="53"/>
        <v>0</v>
      </c>
      <c r="V285" s="1129">
        <f t="shared" si="53"/>
        <v>0</v>
      </c>
      <c r="W285" s="1129">
        <f t="shared" si="53"/>
        <v>0</v>
      </c>
    </row>
    <row r="286" spans="1:23" s="692" customFormat="1" ht="15.75" hidden="1" customHeight="1">
      <c r="A286" s="1124"/>
      <c r="B286" s="1132"/>
      <c r="C286" s="1126"/>
      <c r="D286" s="1138"/>
      <c r="E286" s="1124"/>
      <c r="F286" s="1141"/>
      <c r="G286" s="1132"/>
      <c r="H286" s="691">
        <v>0</v>
      </c>
      <c r="I286" s="691">
        <v>0</v>
      </c>
      <c r="J286" s="1128"/>
      <c r="K286" s="1128"/>
      <c r="L286" s="1129"/>
      <c r="M286" s="1129"/>
      <c r="N286" s="1128"/>
      <c r="O286" s="1128"/>
      <c r="P286" s="1129"/>
      <c r="Q286" s="1129"/>
      <c r="R286" s="1128"/>
      <c r="S286" s="1129"/>
      <c r="T286" s="1129"/>
      <c r="U286" s="1128"/>
      <c r="V286" s="1129"/>
      <c r="W286" s="1129"/>
    </row>
    <row r="287" spans="1:23" s="692" customFormat="1" ht="15.75" hidden="1" customHeight="1">
      <c r="A287" s="1124">
        <v>37</v>
      </c>
      <c r="B287" s="1130" t="s">
        <v>680</v>
      </c>
      <c r="C287" s="1126" t="s">
        <v>855</v>
      </c>
      <c r="D287" s="1136" t="s">
        <v>858</v>
      </c>
      <c r="E287" s="1124" t="s">
        <v>756</v>
      </c>
      <c r="F287" s="1139" t="s">
        <v>857</v>
      </c>
      <c r="G287" s="1130" t="s">
        <v>740</v>
      </c>
      <c r="H287" s="691">
        <f>H288+H289+H290+H291</f>
        <v>7315715</v>
      </c>
      <c r="I287" s="691">
        <f>I288+I289+I290+I291</f>
        <v>4259333</v>
      </c>
      <c r="J287" s="1128">
        <f>K287+N287</f>
        <v>3035116</v>
      </c>
      <c r="K287" s="1128">
        <f>L287+M287</f>
        <v>2715630</v>
      </c>
      <c r="L287" s="1129">
        <v>2715630</v>
      </c>
      <c r="M287" s="1129">
        <v>0</v>
      </c>
      <c r="N287" s="1128">
        <f>O287+R287+U287</f>
        <v>319486</v>
      </c>
      <c r="O287" s="1128">
        <f>P287+Q287</f>
        <v>319486</v>
      </c>
      <c r="P287" s="1129">
        <v>319486</v>
      </c>
      <c r="Q287" s="1129">
        <v>0</v>
      </c>
      <c r="R287" s="1128">
        <f>S287+T287</f>
        <v>0</v>
      </c>
      <c r="S287" s="1129">
        <v>0</v>
      </c>
      <c r="T287" s="1129">
        <v>0</v>
      </c>
      <c r="U287" s="1128">
        <f>V287+W287</f>
        <v>0</v>
      </c>
      <c r="V287" s="1129">
        <v>0</v>
      </c>
      <c r="W287" s="1129">
        <v>0</v>
      </c>
    </row>
    <row r="288" spans="1:23" s="692" customFormat="1" ht="15.75" hidden="1" customHeight="1">
      <c r="A288" s="1124"/>
      <c r="B288" s="1131"/>
      <c r="C288" s="1126"/>
      <c r="D288" s="1137"/>
      <c r="E288" s="1124"/>
      <c r="F288" s="1140"/>
      <c r="G288" s="1131"/>
      <c r="H288" s="691">
        <v>6545639</v>
      </c>
      <c r="I288" s="691">
        <v>3810982</v>
      </c>
      <c r="J288" s="1128"/>
      <c r="K288" s="1128"/>
      <c r="L288" s="1129"/>
      <c r="M288" s="1129"/>
      <c r="N288" s="1128"/>
      <c r="O288" s="1128"/>
      <c r="P288" s="1129"/>
      <c r="Q288" s="1129"/>
      <c r="R288" s="1128"/>
      <c r="S288" s="1129"/>
      <c r="T288" s="1129"/>
      <c r="U288" s="1128"/>
      <c r="V288" s="1129"/>
      <c r="W288" s="1129"/>
    </row>
    <row r="289" spans="1:23" s="692" customFormat="1" ht="15.75" hidden="1" customHeight="1">
      <c r="A289" s="1124"/>
      <c r="B289" s="1131"/>
      <c r="C289" s="1126"/>
      <c r="D289" s="1137"/>
      <c r="E289" s="1124"/>
      <c r="F289" s="1140"/>
      <c r="G289" s="1131"/>
      <c r="H289" s="691">
        <v>770076</v>
      </c>
      <c r="I289" s="691">
        <v>448351</v>
      </c>
      <c r="J289" s="693">
        <f>K289+N289</f>
        <v>0</v>
      </c>
      <c r="K289" s="693">
        <f>L289+M289</f>
        <v>0</v>
      </c>
      <c r="L289" s="694">
        <v>0</v>
      </c>
      <c r="M289" s="694">
        <v>0</v>
      </c>
      <c r="N289" s="693">
        <f>O289+R289+U289</f>
        <v>0</v>
      </c>
      <c r="O289" s="693">
        <f>P289+Q289</f>
        <v>0</v>
      </c>
      <c r="P289" s="694">
        <v>0</v>
      </c>
      <c r="Q289" s="694">
        <v>0</v>
      </c>
      <c r="R289" s="693">
        <f>S289+T289</f>
        <v>0</v>
      </c>
      <c r="S289" s="694">
        <v>0</v>
      </c>
      <c r="T289" s="694">
        <v>0</v>
      </c>
      <c r="U289" s="693">
        <f>V289+W289</f>
        <v>0</v>
      </c>
      <c r="V289" s="694">
        <v>0</v>
      </c>
      <c r="W289" s="694">
        <v>0</v>
      </c>
    </row>
    <row r="290" spans="1:23" s="692" customFormat="1" ht="15.75" hidden="1" customHeight="1">
      <c r="A290" s="1124"/>
      <c r="B290" s="1131"/>
      <c r="C290" s="1126"/>
      <c r="D290" s="1137"/>
      <c r="E290" s="1124"/>
      <c r="F290" s="1140"/>
      <c r="G290" s="1131"/>
      <c r="H290" s="691">
        <v>0</v>
      </c>
      <c r="I290" s="691">
        <v>0</v>
      </c>
      <c r="J290" s="1128">
        <f t="shared" ref="J290:W290" si="54">J287+J289</f>
        <v>3035116</v>
      </c>
      <c r="K290" s="1128">
        <f t="shared" si="54"/>
        <v>2715630</v>
      </c>
      <c r="L290" s="1129">
        <f t="shared" si="54"/>
        <v>2715630</v>
      </c>
      <c r="M290" s="1129">
        <f t="shared" si="54"/>
        <v>0</v>
      </c>
      <c r="N290" s="1128">
        <f t="shared" si="54"/>
        <v>319486</v>
      </c>
      <c r="O290" s="1128">
        <f t="shared" si="54"/>
        <v>319486</v>
      </c>
      <c r="P290" s="1129">
        <f t="shared" si="54"/>
        <v>319486</v>
      </c>
      <c r="Q290" s="1129">
        <f t="shared" si="54"/>
        <v>0</v>
      </c>
      <c r="R290" s="1128">
        <f t="shared" si="54"/>
        <v>0</v>
      </c>
      <c r="S290" s="1129">
        <f t="shared" si="54"/>
        <v>0</v>
      </c>
      <c r="T290" s="1129">
        <f t="shared" si="54"/>
        <v>0</v>
      </c>
      <c r="U290" s="1128">
        <f t="shared" si="54"/>
        <v>0</v>
      </c>
      <c r="V290" s="1129">
        <f t="shared" si="54"/>
        <v>0</v>
      </c>
      <c r="W290" s="1129">
        <f t="shared" si="54"/>
        <v>0</v>
      </c>
    </row>
    <row r="291" spans="1:23" s="692" customFormat="1" ht="15.75" hidden="1" customHeight="1">
      <c r="A291" s="1124"/>
      <c r="B291" s="1132"/>
      <c r="C291" s="1126"/>
      <c r="D291" s="1138"/>
      <c r="E291" s="1124"/>
      <c r="F291" s="1141"/>
      <c r="G291" s="1132"/>
      <c r="H291" s="691">
        <v>0</v>
      </c>
      <c r="I291" s="691">
        <v>0</v>
      </c>
      <c r="J291" s="1128"/>
      <c r="K291" s="1128"/>
      <c r="L291" s="1129"/>
      <c r="M291" s="1129"/>
      <c r="N291" s="1128"/>
      <c r="O291" s="1128"/>
      <c r="P291" s="1129"/>
      <c r="Q291" s="1129"/>
      <c r="R291" s="1128"/>
      <c r="S291" s="1129"/>
      <c r="T291" s="1129"/>
      <c r="U291" s="1128"/>
      <c r="V291" s="1129"/>
      <c r="W291" s="1129"/>
    </row>
    <row r="292" spans="1:23" s="692" customFormat="1" ht="16.5" customHeight="1">
      <c r="A292" s="1124">
        <v>8</v>
      </c>
      <c r="B292" s="1130" t="s">
        <v>859</v>
      </c>
      <c r="C292" s="1126" t="s">
        <v>860</v>
      </c>
      <c r="D292" s="1136" t="s">
        <v>861</v>
      </c>
      <c r="E292" s="1124" t="s">
        <v>733</v>
      </c>
      <c r="F292" s="1139" t="s">
        <v>862</v>
      </c>
      <c r="G292" s="1130" t="s">
        <v>787</v>
      </c>
      <c r="H292" s="691">
        <f>H293+H294+H295+H296</f>
        <v>8155800</v>
      </c>
      <c r="I292" s="691">
        <f>I293+I294+I295+I296</f>
        <v>0</v>
      </c>
      <c r="J292" s="1128">
        <f>K292+N292</f>
        <v>4705800</v>
      </c>
      <c r="K292" s="1128">
        <f>L292+M292</f>
        <v>3999930</v>
      </c>
      <c r="L292" s="1129">
        <v>3999930</v>
      </c>
      <c r="M292" s="1129">
        <v>0</v>
      </c>
      <c r="N292" s="1128">
        <f>O292+R292+U292</f>
        <v>705870</v>
      </c>
      <c r="O292" s="1128">
        <f>P292+Q292</f>
        <v>470580</v>
      </c>
      <c r="P292" s="1129">
        <v>470580</v>
      </c>
      <c r="Q292" s="1129">
        <v>0</v>
      </c>
      <c r="R292" s="1128">
        <f>S292+T292</f>
        <v>235290</v>
      </c>
      <c r="S292" s="1129">
        <v>235290</v>
      </c>
      <c r="T292" s="1129">
        <v>0</v>
      </c>
      <c r="U292" s="1128">
        <f>V292+W292</f>
        <v>0</v>
      </c>
      <c r="V292" s="1129">
        <v>0</v>
      </c>
      <c r="W292" s="1129">
        <v>0</v>
      </c>
    </row>
    <row r="293" spans="1:23" s="692" customFormat="1" ht="16.5" customHeight="1">
      <c r="A293" s="1124"/>
      <c r="B293" s="1131"/>
      <c r="C293" s="1126"/>
      <c r="D293" s="1137"/>
      <c r="E293" s="1124"/>
      <c r="F293" s="1140"/>
      <c r="G293" s="1131"/>
      <c r="H293" s="691">
        <v>6932430</v>
      </c>
      <c r="I293" s="691">
        <v>0</v>
      </c>
      <c r="J293" s="1128"/>
      <c r="K293" s="1128"/>
      <c r="L293" s="1129"/>
      <c r="M293" s="1129"/>
      <c r="N293" s="1128"/>
      <c r="O293" s="1128"/>
      <c r="P293" s="1129"/>
      <c r="Q293" s="1129"/>
      <c r="R293" s="1128"/>
      <c r="S293" s="1129"/>
      <c r="T293" s="1129"/>
      <c r="U293" s="1128"/>
      <c r="V293" s="1129"/>
      <c r="W293" s="1129"/>
    </row>
    <row r="294" spans="1:23" s="692" customFormat="1" ht="16.5" customHeight="1">
      <c r="A294" s="1124"/>
      <c r="B294" s="1131"/>
      <c r="C294" s="1126"/>
      <c r="D294" s="1137"/>
      <c r="E294" s="1124"/>
      <c r="F294" s="1140"/>
      <c r="G294" s="1131"/>
      <c r="H294" s="691">
        <v>815580</v>
      </c>
      <c r="I294" s="691">
        <v>0</v>
      </c>
      <c r="J294" s="693">
        <f>K294+N294</f>
        <v>-1031723</v>
      </c>
      <c r="K294" s="693">
        <f>L294+M294</f>
        <v>-876965</v>
      </c>
      <c r="L294" s="694">
        <v>-876965</v>
      </c>
      <c r="M294" s="694">
        <v>0</v>
      </c>
      <c r="N294" s="693">
        <f>O294+R294+U294</f>
        <v>-154758</v>
      </c>
      <c r="O294" s="693">
        <f>P294+Q294</f>
        <v>-103172</v>
      </c>
      <c r="P294" s="694">
        <v>-103172</v>
      </c>
      <c r="Q294" s="694">
        <v>0</v>
      </c>
      <c r="R294" s="693">
        <f>S294+T294</f>
        <v>-51586</v>
      </c>
      <c r="S294" s="694">
        <v>-51586</v>
      </c>
      <c r="T294" s="694">
        <v>0</v>
      </c>
      <c r="U294" s="693">
        <f>V294+W294</f>
        <v>0</v>
      </c>
      <c r="V294" s="694">
        <v>0</v>
      </c>
      <c r="W294" s="694">
        <v>0</v>
      </c>
    </row>
    <row r="295" spans="1:23" s="692" customFormat="1" ht="16.5" customHeight="1">
      <c r="A295" s="1124"/>
      <c r="B295" s="1131"/>
      <c r="C295" s="1126"/>
      <c r="D295" s="1137"/>
      <c r="E295" s="1124"/>
      <c r="F295" s="1140"/>
      <c r="G295" s="1131"/>
      <c r="H295" s="691">
        <v>407790</v>
      </c>
      <c r="I295" s="691">
        <v>0</v>
      </c>
      <c r="J295" s="1128">
        <f t="shared" ref="J295:W295" si="55">J292+J294</f>
        <v>3674077</v>
      </c>
      <c r="K295" s="1128">
        <f t="shared" si="55"/>
        <v>3122965</v>
      </c>
      <c r="L295" s="1129">
        <f t="shared" si="55"/>
        <v>3122965</v>
      </c>
      <c r="M295" s="1129">
        <f t="shared" si="55"/>
        <v>0</v>
      </c>
      <c r="N295" s="1128">
        <f t="shared" si="55"/>
        <v>551112</v>
      </c>
      <c r="O295" s="1128">
        <f t="shared" si="55"/>
        <v>367408</v>
      </c>
      <c r="P295" s="1129">
        <f t="shared" si="55"/>
        <v>367408</v>
      </c>
      <c r="Q295" s="1129">
        <f t="shared" si="55"/>
        <v>0</v>
      </c>
      <c r="R295" s="1128">
        <f t="shared" si="55"/>
        <v>183704</v>
      </c>
      <c r="S295" s="1129">
        <f t="shared" si="55"/>
        <v>183704</v>
      </c>
      <c r="T295" s="1129">
        <f t="shared" si="55"/>
        <v>0</v>
      </c>
      <c r="U295" s="1128">
        <f t="shared" si="55"/>
        <v>0</v>
      </c>
      <c r="V295" s="1129">
        <f t="shared" si="55"/>
        <v>0</v>
      </c>
      <c r="W295" s="1129">
        <f t="shared" si="55"/>
        <v>0</v>
      </c>
    </row>
    <row r="296" spans="1:23" s="692" customFormat="1" ht="16.5" customHeight="1">
      <c r="A296" s="1124"/>
      <c r="B296" s="1132"/>
      <c r="C296" s="1126"/>
      <c r="D296" s="1138"/>
      <c r="E296" s="1124"/>
      <c r="F296" s="1141"/>
      <c r="G296" s="1132"/>
      <c r="H296" s="691">
        <v>0</v>
      </c>
      <c r="I296" s="691">
        <v>0</v>
      </c>
      <c r="J296" s="1128"/>
      <c r="K296" s="1128"/>
      <c r="L296" s="1129"/>
      <c r="M296" s="1129"/>
      <c r="N296" s="1128"/>
      <c r="O296" s="1128"/>
      <c r="P296" s="1129"/>
      <c r="Q296" s="1129"/>
      <c r="R296" s="1128"/>
      <c r="S296" s="1129"/>
      <c r="T296" s="1129"/>
      <c r="U296" s="1128"/>
      <c r="V296" s="1129"/>
      <c r="W296" s="1129"/>
    </row>
    <row r="297" spans="1:23" s="692" customFormat="1" ht="16.5" customHeight="1">
      <c r="A297" s="1124">
        <v>9</v>
      </c>
      <c r="B297" s="1130" t="s">
        <v>859</v>
      </c>
      <c r="C297" s="1126" t="s">
        <v>860</v>
      </c>
      <c r="D297" s="1136" t="s">
        <v>863</v>
      </c>
      <c r="E297" s="1124" t="s">
        <v>733</v>
      </c>
      <c r="F297" s="1139" t="s">
        <v>862</v>
      </c>
      <c r="G297" s="1130" t="s">
        <v>787</v>
      </c>
      <c r="H297" s="691">
        <f>H298+H299+H300+H301</f>
        <v>52450936</v>
      </c>
      <c r="I297" s="691">
        <f>I298+I299+I300+I301</f>
        <v>0</v>
      </c>
      <c r="J297" s="1128">
        <f>K297+N297</f>
        <v>52450936</v>
      </c>
      <c r="K297" s="1128">
        <f>L297+M297</f>
        <v>46929785</v>
      </c>
      <c r="L297" s="1129">
        <v>46437680</v>
      </c>
      <c r="M297" s="1129">
        <v>492105</v>
      </c>
      <c r="N297" s="1128">
        <f>O297+R297+U297</f>
        <v>5521151</v>
      </c>
      <c r="O297" s="1128">
        <f>P297+Q297</f>
        <v>5521151</v>
      </c>
      <c r="P297" s="1129">
        <v>5463256</v>
      </c>
      <c r="Q297" s="1129">
        <v>57895</v>
      </c>
      <c r="R297" s="1128">
        <f>S297+T297</f>
        <v>0</v>
      </c>
      <c r="S297" s="1129">
        <v>0</v>
      </c>
      <c r="T297" s="1129">
        <v>0</v>
      </c>
      <c r="U297" s="1128">
        <f>V297+W297</f>
        <v>0</v>
      </c>
      <c r="V297" s="1129">
        <v>0</v>
      </c>
      <c r="W297" s="1129">
        <v>0</v>
      </c>
    </row>
    <row r="298" spans="1:23" s="692" customFormat="1" ht="16.5" customHeight="1">
      <c r="A298" s="1124"/>
      <c r="B298" s="1131"/>
      <c r="C298" s="1126"/>
      <c r="D298" s="1137"/>
      <c r="E298" s="1124"/>
      <c r="F298" s="1140"/>
      <c r="G298" s="1131"/>
      <c r="H298" s="691">
        <v>46929785</v>
      </c>
      <c r="I298" s="691">
        <v>0</v>
      </c>
      <c r="J298" s="1128"/>
      <c r="K298" s="1128"/>
      <c r="L298" s="1129"/>
      <c r="M298" s="1129"/>
      <c r="N298" s="1128"/>
      <c r="O298" s="1128"/>
      <c r="P298" s="1129"/>
      <c r="Q298" s="1129"/>
      <c r="R298" s="1128"/>
      <c r="S298" s="1129"/>
      <c r="T298" s="1129"/>
      <c r="U298" s="1128"/>
      <c r="V298" s="1129"/>
      <c r="W298" s="1129"/>
    </row>
    <row r="299" spans="1:23" s="692" customFormat="1" ht="16.5" customHeight="1">
      <c r="A299" s="1124"/>
      <c r="B299" s="1131"/>
      <c r="C299" s="1126"/>
      <c r="D299" s="1137"/>
      <c r="E299" s="1124"/>
      <c r="F299" s="1140"/>
      <c r="G299" s="1131"/>
      <c r="H299" s="691">
        <v>5521151</v>
      </c>
      <c r="I299" s="691">
        <v>0</v>
      </c>
      <c r="J299" s="693">
        <f>K299+N299</f>
        <v>-14928854</v>
      </c>
      <c r="K299" s="693">
        <f>L299+M299</f>
        <v>-13357400</v>
      </c>
      <c r="L299" s="694">
        <v>-12865295</v>
      </c>
      <c r="M299" s="694">
        <v>-492105</v>
      </c>
      <c r="N299" s="693">
        <f>O299+R299+U299</f>
        <v>-1571454</v>
      </c>
      <c r="O299" s="693">
        <f>P299+Q299</f>
        <v>-1571454</v>
      </c>
      <c r="P299" s="694">
        <v>-1513559</v>
      </c>
      <c r="Q299" s="694">
        <v>-57895</v>
      </c>
      <c r="R299" s="693">
        <f>S299+T299</f>
        <v>0</v>
      </c>
      <c r="S299" s="694">
        <v>0</v>
      </c>
      <c r="T299" s="694">
        <v>0</v>
      </c>
      <c r="U299" s="693">
        <f>V299+W299</f>
        <v>0</v>
      </c>
      <c r="V299" s="694">
        <v>0</v>
      </c>
      <c r="W299" s="694">
        <v>0</v>
      </c>
    </row>
    <row r="300" spans="1:23" s="692" customFormat="1" ht="16.5" customHeight="1">
      <c r="A300" s="1124"/>
      <c r="B300" s="1131"/>
      <c r="C300" s="1126"/>
      <c r="D300" s="1137"/>
      <c r="E300" s="1124"/>
      <c r="F300" s="1140"/>
      <c r="G300" s="1131"/>
      <c r="H300" s="691">
        <v>0</v>
      </c>
      <c r="I300" s="691">
        <v>0</v>
      </c>
      <c r="J300" s="1128">
        <f t="shared" ref="J300:W300" si="56">J297+J299</f>
        <v>37522082</v>
      </c>
      <c r="K300" s="1128">
        <f t="shared" si="56"/>
        <v>33572385</v>
      </c>
      <c r="L300" s="1129">
        <f t="shared" si="56"/>
        <v>33572385</v>
      </c>
      <c r="M300" s="1129">
        <f t="shared" si="56"/>
        <v>0</v>
      </c>
      <c r="N300" s="1128">
        <f t="shared" si="56"/>
        <v>3949697</v>
      </c>
      <c r="O300" s="1128">
        <f t="shared" si="56"/>
        <v>3949697</v>
      </c>
      <c r="P300" s="1129">
        <f t="shared" si="56"/>
        <v>3949697</v>
      </c>
      <c r="Q300" s="1129">
        <f t="shared" si="56"/>
        <v>0</v>
      </c>
      <c r="R300" s="1128">
        <f t="shared" si="56"/>
        <v>0</v>
      </c>
      <c r="S300" s="1129">
        <f t="shared" si="56"/>
        <v>0</v>
      </c>
      <c r="T300" s="1129">
        <f t="shared" si="56"/>
        <v>0</v>
      </c>
      <c r="U300" s="1128">
        <f t="shared" si="56"/>
        <v>0</v>
      </c>
      <c r="V300" s="1129">
        <f t="shared" si="56"/>
        <v>0</v>
      </c>
      <c r="W300" s="1129">
        <f t="shared" si="56"/>
        <v>0</v>
      </c>
    </row>
    <row r="301" spans="1:23" s="692" customFormat="1" ht="16.5" customHeight="1">
      <c r="A301" s="1124"/>
      <c r="B301" s="1132"/>
      <c r="C301" s="1126"/>
      <c r="D301" s="1138"/>
      <c r="E301" s="1124"/>
      <c r="F301" s="1141"/>
      <c r="G301" s="1132"/>
      <c r="H301" s="691">
        <v>0</v>
      </c>
      <c r="I301" s="691">
        <v>0</v>
      </c>
      <c r="J301" s="1128"/>
      <c r="K301" s="1128"/>
      <c r="L301" s="1129"/>
      <c r="M301" s="1129"/>
      <c r="N301" s="1128"/>
      <c r="O301" s="1128"/>
      <c r="P301" s="1129"/>
      <c r="Q301" s="1129"/>
      <c r="R301" s="1128"/>
      <c r="S301" s="1129"/>
      <c r="T301" s="1129"/>
      <c r="U301" s="1128"/>
      <c r="V301" s="1129"/>
      <c r="W301" s="1129"/>
    </row>
    <row r="302" spans="1:23" s="692" customFormat="1" ht="17.25" customHeight="1">
      <c r="A302" s="1124">
        <v>10</v>
      </c>
      <c r="B302" s="1130" t="s">
        <v>864</v>
      </c>
      <c r="C302" s="1126" t="s">
        <v>860</v>
      </c>
      <c r="D302" s="1136" t="s">
        <v>865</v>
      </c>
      <c r="E302" s="1124" t="s">
        <v>756</v>
      </c>
      <c r="F302" s="1139" t="s">
        <v>866</v>
      </c>
      <c r="G302" s="1130" t="s">
        <v>787</v>
      </c>
      <c r="H302" s="691">
        <f>H303+H304+H305+H306</f>
        <v>34372296</v>
      </c>
      <c r="I302" s="691">
        <f>I303+I304+I305+I306</f>
        <v>0</v>
      </c>
      <c r="J302" s="1128">
        <f>K302+N302</f>
        <v>39117647</v>
      </c>
      <c r="K302" s="1128">
        <f>L302+M302</f>
        <v>35000000</v>
      </c>
      <c r="L302" s="1129">
        <v>35000000</v>
      </c>
      <c r="M302" s="1129">
        <v>0</v>
      </c>
      <c r="N302" s="1128">
        <f>O302+R302+U302</f>
        <v>4117647</v>
      </c>
      <c r="O302" s="1128">
        <f>P302+Q302</f>
        <v>4117647</v>
      </c>
      <c r="P302" s="1129">
        <v>4117647</v>
      </c>
      <c r="Q302" s="1129">
        <v>0</v>
      </c>
      <c r="R302" s="1128">
        <f>S302+T302</f>
        <v>0</v>
      </c>
      <c r="S302" s="1129">
        <v>0</v>
      </c>
      <c r="T302" s="1129">
        <v>0</v>
      </c>
      <c r="U302" s="1128">
        <f>V302+W302</f>
        <v>0</v>
      </c>
      <c r="V302" s="1129">
        <v>0</v>
      </c>
      <c r="W302" s="1129">
        <v>0</v>
      </c>
    </row>
    <row r="303" spans="1:23" s="692" customFormat="1" ht="17.25" customHeight="1">
      <c r="A303" s="1124"/>
      <c r="B303" s="1131"/>
      <c r="C303" s="1126"/>
      <c r="D303" s="1137"/>
      <c r="E303" s="1124"/>
      <c r="F303" s="1140"/>
      <c r="G303" s="1131"/>
      <c r="H303" s="691">
        <v>30754159</v>
      </c>
      <c r="I303" s="691">
        <v>0</v>
      </c>
      <c r="J303" s="1128"/>
      <c r="K303" s="1128"/>
      <c r="L303" s="1129"/>
      <c r="M303" s="1129"/>
      <c r="N303" s="1128"/>
      <c r="O303" s="1128"/>
      <c r="P303" s="1129"/>
      <c r="Q303" s="1129"/>
      <c r="R303" s="1128"/>
      <c r="S303" s="1129"/>
      <c r="T303" s="1129"/>
      <c r="U303" s="1128"/>
      <c r="V303" s="1129"/>
      <c r="W303" s="1129"/>
    </row>
    <row r="304" spans="1:23" s="692" customFormat="1" ht="17.25" customHeight="1">
      <c r="A304" s="1124"/>
      <c r="B304" s="1131"/>
      <c r="C304" s="1126"/>
      <c r="D304" s="1137"/>
      <c r="E304" s="1124"/>
      <c r="F304" s="1140"/>
      <c r="G304" s="1131"/>
      <c r="H304" s="691">
        <v>3618137</v>
      </c>
      <c r="I304" s="691">
        <v>0</v>
      </c>
      <c r="J304" s="693">
        <f>K304+N304</f>
        <v>-8962757</v>
      </c>
      <c r="K304" s="693">
        <f>L304+M304</f>
        <v>-8019310</v>
      </c>
      <c r="L304" s="694">
        <v>-8019310</v>
      </c>
      <c r="M304" s="694">
        <v>0</v>
      </c>
      <c r="N304" s="693">
        <f>O304+R304+U304</f>
        <v>-943447</v>
      </c>
      <c r="O304" s="693">
        <f>P304+Q304</f>
        <v>-943447</v>
      </c>
      <c r="P304" s="694">
        <v>-943447</v>
      </c>
      <c r="Q304" s="694">
        <v>0</v>
      </c>
      <c r="R304" s="693">
        <f>S304+T304</f>
        <v>0</v>
      </c>
      <c r="S304" s="694">
        <v>0</v>
      </c>
      <c r="T304" s="694">
        <v>0</v>
      </c>
      <c r="U304" s="693">
        <f>V304+W304</f>
        <v>0</v>
      </c>
      <c r="V304" s="694">
        <v>0</v>
      </c>
      <c r="W304" s="694">
        <v>0</v>
      </c>
    </row>
    <row r="305" spans="1:23" s="692" customFormat="1" ht="17.25" customHeight="1">
      <c r="A305" s="1124"/>
      <c r="B305" s="1131"/>
      <c r="C305" s="1126"/>
      <c r="D305" s="1137"/>
      <c r="E305" s="1124"/>
      <c r="F305" s="1140"/>
      <c r="G305" s="1131"/>
      <c r="H305" s="691">
        <v>0</v>
      </c>
      <c r="I305" s="691">
        <v>0</v>
      </c>
      <c r="J305" s="1128">
        <f t="shared" ref="J305:W305" si="57">J302+J304</f>
        <v>30154890</v>
      </c>
      <c r="K305" s="1128">
        <f t="shared" si="57"/>
        <v>26980690</v>
      </c>
      <c r="L305" s="1129">
        <f t="shared" si="57"/>
        <v>26980690</v>
      </c>
      <c r="M305" s="1129">
        <f t="shared" si="57"/>
        <v>0</v>
      </c>
      <c r="N305" s="1128">
        <f t="shared" si="57"/>
        <v>3174200</v>
      </c>
      <c r="O305" s="1128">
        <f t="shared" si="57"/>
        <v>3174200</v>
      </c>
      <c r="P305" s="1129">
        <f t="shared" si="57"/>
        <v>3174200</v>
      </c>
      <c r="Q305" s="1129">
        <f t="shared" si="57"/>
        <v>0</v>
      </c>
      <c r="R305" s="1128">
        <f t="shared" si="57"/>
        <v>0</v>
      </c>
      <c r="S305" s="1129">
        <f t="shared" si="57"/>
        <v>0</v>
      </c>
      <c r="T305" s="1129">
        <f t="shared" si="57"/>
        <v>0</v>
      </c>
      <c r="U305" s="1128">
        <f t="shared" si="57"/>
        <v>0</v>
      </c>
      <c r="V305" s="1129">
        <f t="shared" si="57"/>
        <v>0</v>
      </c>
      <c r="W305" s="1129">
        <f t="shared" si="57"/>
        <v>0</v>
      </c>
    </row>
    <row r="306" spans="1:23" s="692" customFormat="1" ht="17.25" customHeight="1">
      <c r="A306" s="1124"/>
      <c r="B306" s="1132"/>
      <c r="C306" s="1126"/>
      <c r="D306" s="1138"/>
      <c r="E306" s="1124"/>
      <c r="F306" s="1141"/>
      <c r="G306" s="1132"/>
      <c r="H306" s="691">
        <v>0</v>
      </c>
      <c r="I306" s="691">
        <v>0</v>
      </c>
      <c r="J306" s="1128"/>
      <c r="K306" s="1128"/>
      <c r="L306" s="1129"/>
      <c r="M306" s="1129"/>
      <c r="N306" s="1128"/>
      <c r="O306" s="1128"/>
      <c r="P306" s="1129"/>
      <c r="Q306" s="1129"/>
      <c r="R306" s="1128"/>
      <c r="S306" s="1129"/>
      <c r="T306" s="1129"/>
      <c r="U306" s="1128"/>
      <c r="V306" s="1129"/>
      <c r="W306" s="1129"/>
    </row>
    <row r="307" spans="1:23" s="692" customFormat="1" ht="16.5" hidden="1" customHeight="1">
      <c r="A307" s="1124">
        <v>18</v>
      </c>
      <c r="B307" s="1130" t="s">
        <v>864</v>
      </c>
      <c r="C307" s="1126" t="s">
        <v>860</v>
      </c>
      <c r="D307" s="1136" t="s">
        <v>867</v>
      </c>
      <c r="E307" s="1124" t="s">
        <v>756</v>
      </c>
      <c r="F307" s="1139" t="s">
        <v>857</v>
      </c>
      <c r="G307" s="1130" t="s">
        <v>738</v>
      </c>
      <c r="H307" s="691">
        <f>H308+H309+H310+H311</f>
        <v>11609693</v>
      </c>
      <c r="I307" s="691">
        <f>I308+I309+I310+I311</f>
        <v>7904539</v>
      </c>
      <c r="J307" s="1128">
        <f>K307+N307</f>
        <v>3705154</v>
      </c>
      <c r="K307" s="1128">
        <f>L307+M307</f>
        <v>3423240</v>
      </c>
      <c r="L307" s="1129">
        <v>3423240</v>
      </c>
      <c r="M307" s="1129">
        <v>0</v>
      </c>
      <c r="N307" s="1128">
        <f>O307+R307+U307</f>
        <v>281914</v>
      </c>
      <c r="O307" s="1128">
        <f>P307+Q307</f>
        <v>281914</v>
      </c>
      <c r="P307" s="1129">
        <v>281914</v>
      </c>
      <c r="Q307" s="1129">
        <v>0</v>
      </c>
      <c r="R307" s="1128">
        <f>S307+T307</f>
        <v>0</v>
      </c>
      <c r="S307" s="1129">
        <v>0</v>
      </c>
      <c r="T307" s="1129">
        <v>0</v>
      </c>
      <c r="U307" s="1128">
        <f>V307+W307</f>
        <v>0</v>
      </c>
      <c r="V307" s="1129">
        <v>0</v>
      </c>
      <c r="W307" s="1129">
        <v>0</v>
      </c>
    </row>
    <row r="308" spans="1:23" s="692" customFormat="1" ht="16.5" hidden="1" customHeight="1">
      <c r="A308" s="1124"/>
      <c r="B308" s="1131"/>
      <c r="C308" s="1126"/>
      <c r="D308" s="1137"/>
      <c r="E308" s="1124"/>
      <c r="F308" s="1140"/>
      <c r="G308" s="1131"/>
      <c r="H308" s="691">
        <v>10726347</v>
      </c>
      <c r="I308" s="691">
        <v>7303107</v>
      </c>
      <c r="J308" s="1128"/>
      <c r="K308" s="1128"/>
      <c r="L308" s="1129"/>
      <c r="M308" s="1129"/>
      <c r="N308" s="1128"/>
      <c r="O308" s="1128"/>
      <c r="P308" s="1129"/>
      <c r="Q308" s="1129"/>
      <c r="R308" s="1128"/>
      <c r="S308" s="1129"/>
      <c r="T308" s="1129"/>
      <c r="U308" s="1128"/>
      <c r="V308" s="1129"/>
      <c r="W308" s="1129"/>
    </row>
    <row r="309" spans="1:23" s="692" customFormat="1" ht="16.5" hidden="1" customHeight="1">
      <c r="A309" s="1124"/>
      <c r="B309" s="1131"/>
      <c r="C309" s="1126"/>
      <c r="D309" s="1137"/>
      <c r="E309" s="1124"/>
      <c r="F309" s="1140"/>
      <c r="G309" s="1131"/>
      <c r="H309" s="691">
        <v>883346</v>
      </c>
      <c r="I309" s="691">
        <v>601432</v>
      </c>
      <c r="J309" s="693">
        <f>K309+N309</f>
        <v>0</v>
      </c>
      <c r="K309" s="693">
        <f>L309+M309</f>
        <v>0</v>
      </c>
      <c r="L309" s="694">
        <v>0</v>
      </c>
      <c r="M309" s="694">
        <v>0</v>
      </c>
      <c r="N309" s="693">
        <f>O309+R309+U309</f>
        <v>0</v>
      </c>
      <c r="O309" s="693">
        <f>P309+Q309</f>
        <v>0</v>
      </c>
      <c r="P309" s="694">
        <v>0</v>
      </c>
      <c r="Q309" s="694">
        <v>0</v>
      </c>
      <c r="R309" s="693">
        <f>S309+T309</f>
        <v>0</v>
      </c>
      <c r="S309" s="694">
        <v>0</v>
      </c>
      <c r="T309" s="694">
        <v>0</v>
      </c>
      <c r="U309" s="693">
        <f>V309+W309</f>
        <v>0</v>
      </c>
      <c r="V309" s="694">
        <v>0</v>
      </c>
      <c r="W309" s="694">
        <v>0</v>
      </c>
    </row>
    <row r="310" spans="1:23" s="692" customFormat="1" ht="16.5" hidden="1" customHeight="1">
      <c r="A310" s="1124"/>
      <c r="B310" s="1131"/>
      <c r="C310" s="1126"/>
      <c r="D310" s="1137"/>
      <c r="E310" s="1124"/>
      <c r="F310" s="1140"/>
      <c r="G310" s="1131"/>
      <c r="H310" s="691">
        <v>0</v>
      </c>
      <c r="I310" s="691">
        <v>0</v>
      </c>
      <c r="J310" s="1128">
        <f t="shared" ref="J310:W310" si="58">J307+J309</f>
        <v>3705154</v>
      </c>
      <c r="K310" s="1128">
        <f t="shared" si="58"/>
        <v>3423240</v>
      </c>
      <c r="L310" s="1129">
        <f t="shared" si="58"/>
        <v>3423240</v>
      </c>
      <c r="M310" s="1129">
        <f t="shared" si="58"/>
        <v>0</v>
      </c>
      <c r="N310" s="1128">
        <f t="shared" si="58"/>
        <v>281914</v>
      </c>
      <c r="O310" s="1128">
        <f t="shared" si="58"/>
        <v>281914</v>
      </c>
      <c r="P310" s="1129">
        <f t="shared" si="58"/>
        <v>281914</v>
      </c>
      <c r="Q310" s="1129">
        <f t="shared" si="58"/>
        <v>0</v>
      </c>
      <c r="R310" s="1128">
        <f t="shared" si="58"/>
        <v>0</v>
      </c>
      <c r="S310" s="1129">
        <f t="shared" si="58"/>
        <v>0</v>
      </c>
      <c r="T310" s="1129">
        <f t="shared" si="58"/>
        <v>0</v>
      </c>
      <c r="U310" s="1128">
        <f t="shared" si="58"/>
        <v>0</v>
      </c>
      <c r="V310" s="1129">
        <f t="shared" si="58"/>
        <v>0</v>
      </c>
      <c r="W310" s="1129">
        <f t="shared" si="58"/>
        <v>0</v>
      </c>
    </row>
    <row r="311" spans="1:23" s="692" customFormat="1" ht="16.5" hidden="1" customHeight="1">
      <c r="A311" s="1124"/>
      <c r="B311" s="1132"/>
      <c r="C311" s="1126"/>
      <c r="D311" s="1138"/>
      <c r="E311" s="1124"/>
      <c r="F311" s="1141"/>
      <c r="G311" s="1132"/>
      <c r="H311" s="691">
        <v>0</v>
      </c>
      <c r="I311" s="691">
        <v>0</v>
      </c>
      <c r="J311" s="1128"/>
      <c r="K311" s="1128"/>
      <c r="L311" s="1129"/>
      <c r="M311" s="1129"/>
      <c r="N311" s="1128"/>
      <c r="O311" s="1128"/>
      <c r="P311" s="1129"/>
      <c r="Q311" s="1129"/>
      <c r="R311" s="1128"/>
      <c r="S311" s="1129"/>
      <c r="T311" s="1129"/>
      <c r="U311" s="1128"/>
      <c r="V311" s="1129"/>
      <c r="W311" s="1129"/>
    </row>
    <row r="312" spans="1:23" s="692" customFormat="1" ht="16.5" hidden="1" customHeight="1">
      <c r="A312" s="1124">
        <v>38</v>
      </c>
      <c r="B312" s="1130" t="s">
        <v>864</v>
      </c>
      <c r="C312" s="1126" t="s">
        <v>860</v>
      </c>
      <c r="D312" s="1136" t="s">
        <v>868</v>
      </c>
      <c r="E312" s="1124" t="s">
        <v>756</v>
      </c>
      <c r="F312" s="1139" t="s">
        <v>857</v>
      </c>
      <c r="G312" s="1130" t="s">
        <v>854</v>
      </c>
      <c r="H312" s="691">
        <f>H313+H314+H315+H316</f>
        <v>16207111</v>
      </c>
      <c r="I312" s="691">
        <f>I313+I314+I315+I316</f>
        <v>0</v>
      </c>
      <c r="J312" s="1128">
        <f>K312+N312</f>
        <v>2663571</v>
      </c>
      <c r="K312" s="1128">
        <f>L312+M312</f>
        <v>2663571</v>
      </c>
      <c r="L312" s="1129">
        <v>2663571</v>
      </c>
      <c r="M312" s="1129">
        <v>0</v>
      </c>
      <c r="N312" s="1128">
        <f>O312+R312+U312</f>
        <v>0</v>
      </c>
      <c r="O312" s="1128">
        <f>P312+Q312</f>
        <v>0</v>
      </c>
      <c r="P312" s="1129">
        <v>0</v>
      </c>
      <c r="Q312" s="1129">
        <v>0</v>
      </c>
      <c r="R312" s="1128">
        <f>S312+T312</f>
        <v>0</v>
      </c>
      <c r="S312" s="1129">
        <v>0</v>
      </c>
      <c r="T312" s="1129">
        <v>0</v>
      </c>
      <c r="U312" s="1128">
        <f>V312+W312</f>
        <v>0</v>
      </c>
      <c r="V312" s="1129">
        <v>0</v>
      </c>
      <c r="W312" s="1129">
        <v>0</v>
      </c>
    </row>
    <row r="313" spans="1:23" s="692" customFormat="1" ht="16.5" hidden="1" customHeight="1">
      <c r="A313" s="1124"/>
      <c r="B313" s="1131"/>
      <c r="C313" s="1126"/>
      <c r="D313" s="1137"/>
      <c r="E313" s="1124"/>
      <c r="F313" s="1140"/>
      <c r="G313" s="1131"/>
      <c r="H313" s="691">
        <v>16207111</v>
      </c>
      <c r="I313" s="691">
        <v>0</v>
      </c>
      <c r="J313" s="1128"/>
      <c r="K313" s="1128"/>
      <c r="L313" s="1129"/>
      <c r="M313" s="1129"/>
      <c r="N313" s="1128"/>
      <c r="O313" s="1128"/>
      <c r="P313" s="1129"/>
      <c r="Q313" s="1129"/>
      <c r="R313" s="1128"/>
      <c r="S313" s="1129"/>
      <c r="T313" s="1129"/>
      <c r="U313" s="1128"/>
      <c r="V313" s="1129"/>
      <c r="W313" s="1129"/>
    </row>
    <row r="314" spans="1:23" s="692" customFormat="1" ht="16.5" hidden="1" customHeight="1">
      <c r="A314" s="1124"/>
      <c r="B314" s="1131"/>
      <c r="C314" s="1126"/>
      <c r="D314" s="1137"/>
      <c r="E314" s="1124"/>
      <c r="F314" s="1140"/>
      <c r="G314" s="1131"/>
      <c r="H314" s="691">
        <v>0</v>
      </c>
      <c r="I314" s="691">
        <v>0</v>
      </c>
      <c r="J314" s="693">
        <f>K314+N314</f>
        <v>0</v>
      </c>
      <c r="K314" s="693">
        <f>L314+M314</f>
        <v>0</v>
      </c>
      <c r="L314" s="694">
        <v>0</v>
      </c>
      <c r="M314" s="694">
        <v>0</v>
      </c>
      <c r="N314" s="693">
        <f>O314+R314+U314</f>
        <v>0</v>
      </c>
      <c r="O314" s="693">
        <f>P314+Q314</f>
        <v>0</v>
      </c>
      <c r="P314" s="694">
        <v>0</v>
      </c>
      <c r="Q314" s="694">
        <v>0</v>
      </c>
      <c r="R314" s="693">
        <f>S314+T314</f>
        <v>0</v>
      </c>
      <c r="S314" s="694">
        <v>0</v>
      </c>
      <c r="T314" s="694">
        <v>0</v>
      </c>
      <c r="U314" s="693">
        <f>V314+W314</f>
        <v>0</v>
      </c>
      <c r="V314" s="694">
        <v>0</v>
      </c>
      <c r="W314" s="694">
        <v>0</v>
      </c>
    </row>
    <row r="315" spans="1:23" s="692" customFormat="1" ht="16.5" hidden="1" customHeight="1">
      <c r="A315" s="1124"/>
      <c r="B315" s="1131"/>
      <c r="C315" s="1126"/>
      <c r="D315" s="1137"/>
      <c r="E315" s="1124"/>
      <c r="F315" s="1140"/>
      <c r="G315" s="1131"/>
      <c r="H315" s="691">
        <v>0</v>
      </c>
      <c r="I315" s="691">
        <v>0</v>
      </c>
      <c r="J315" s="1128">
        <f t="shared" ref="J315:W315" si="59">J312+J314</f>
        <v>2663571</v>
      </c>
      <c r="K315" s="1128">
        <f t="shared" si="59"/>
        <v>2663571</v>
      </c>
      <c r="L315" s="1129">
        <f t="shared" si="59"/>
        <v>2663571</v>
      </c>
      <c r="M315" s="1129">
        <f t="shared" si="59"/>
        <v>0</v>
      </c>
      <c r="N315" s="1128">
        <f t="shared" si="59"/>
        <v>0</v>
      </c>
      <c r="O315" s="1128">
        <f t="shared" si="59"/>
        <v>0</v>
      </c>
      <c r="P315" s="1129">
        <f t="shared" si="59"/>
        <v>0</v>
      </c>
      <c r="Q315" s="1129">
        <f t="shared" si="59"/>
        <v>0</v>
      </c>
      <c r="R315" s="1128">
        <f t="shared" si="59"/>
        <v>0</v>
      </c>
      <c r="S315" s="1129">
        <f t="shared" si="59"/>
        <v>0</v>
      </c>
      <c r="T315" s="1129">
        <f t="shared" si="59"/>
        <v>0</v>
      </c>
      <c r="U315" s="1128">
        <f t="shared" si="59"/>
        <v>0</v>
      </c>
      <c r="V315" s="1129">
        <f t="shared" si="59"/>
        <v>0</v>
      </c>
      <c r="W315" s="1129">
        <f t="shared" si="59"/>
        <v>0</v>
      </c>
    </row>
    <row r="316" spans="1:23" s="692" customFormat="1" ht="16.5" hidden="1" customHeight="1">
      <c r="A316" s="1124"/>
      <c r="B316" s="1132"/>
      <c r="C316" s="1126"/>
      <c r="D316" s="1138"/>
      <c r="E316" s="1124"/>
      <c r="F316" s="1141"/>
      <c r="G316" s="1132"/>
      <c r="H316" s="691">
        <v>0</v>
      </c>
      <c r="I316" s="691">
        <v>0</v>
      </c>
      <c r="J316" s="1128"/>
      <c r="K316" s="1128"/>
      <c r="L316" s="1129"/>
      <c r="M316" s="1129"/>
      <c r="N316" s="1128"/>
      <c r="O316" s="1128"/>
      <c r="P316" s="1129"/>
      <c r="Q316" s="1129"/>
      <c r="R316" s="1128"/>
      <c r="S316" s="1129"/>
      <c r="T316" s="1129"/>
      <c r="U316" s="1128"/>
      <c r="V316" s="1129"/>
      <c r="W316" s="1129"/>
    </row>
    <row r="317" spans="1:23" s="692" customFormat="1" ht="16.5" hidden="1" customHeight="1">
      <c r="A317" s="1124">
        <v>39</v>
      </c>
      <c r="B317" s="1130" t="s">
        <v>864</v>
      </c>
      <c r="C317" s="1126" t="s">
        <v>860</v>
      </c>
      <c r="D317" s="1136" t="s">
        <v>869</v>
      </c>
      <c r="E317" s="1124" t="s">
        <v>756</v>
      </c>
      <c r="F317" s="1139" t="s">
        <v>857</v>
      </c>
      <c r="G317" s="1130" t="s">
        <v>740</v>
      </c>
      <c r="H317" s="691">
        <f>H318+H319+H320+H321</f>
        <v>2038243</v>
      </c>
      <c r="I317" s="691">
        <f>I318+I319+I320+I321</f>
        <v>1246690</v>
      </c>
      <c r="J317" s="1128">
        <f>K317+N317</f>
        <v>755553</v>
      </c>
      <c r="K317" s="1128">
        <f>L317+M317</f>
        <v>696386</v>
      </c>
      <c r="L317" s="1129">
        <v>696386</v>
      </c>
      <c r="M317" s="1129">
        <v>0</v>
      </c>
      <c r="N317" s="1128">
        <f>O317+R317+U317</f>
        <v>59167</v>
      </c>
      <c r="O317" s="1128">
        <f>P317+Q317</f>
        <v>59167</v>
      </c>
      <c r="P317" s="1129">
        <v>59167</v>
      </c>
      <c r="Q317" s="1129">
        <v>0</v>
      </c>
      <c r="R317" s="1128">
        <f>S317+T317</f>
        <v>0</v>
      </c>
      <c r="S317" s="1129">
        <v>0</v>
      </c>
      <c r="T317" s="1129">
        <v>0</v>
      </c>
      <c r="U317" s="1128">
        <f>V317+W317</f>
        <v>0</v>
      </c>
      <c r="V317" s="1129">
        <v>0</v>
      </c>
      <c r="W317" s="1129">
        <v>0</v>
      </c>
    </row>
    <row r="318" spans="1:23" s="692" customFormat="1" ht="16.5" hidden="1" customHeight="1">
      <c r="A318" s="1124"/>
      <c r="B318" s="1131"/>
      <c r="C318" s="1126"/>
      <c r="D318" s="1137"/>
      <c r="E318" s="1124"/>
      <c r="F318" s="1140"/>
      <c r="G318" s="1131"/>
      <c r="H318" s="691">
        <v>1883340</v>
      </c>
      <c r="I318" s="691">
        <v>1153773</v>
      </c>
      <c r="J318" s="1128"/>
      <c r="K318" s="1128"/>
      <c r="L318" s="1129"/>
      <c r="M318" s="1129"/>
      <c r="N318" s="1128"/>
      <c r="O318" s="1128"/>
      <c r="P318" s="1129"/>
      <c r="Q318" s="1129"/>
      <c r="R318" s="1128"/>
      <c r="S318" s="1129"/>
      <c r="T318" s="1129"/>
      <c r="U318" s="1128"/>
      <c r="V318" s="1129"/>
      <c r="W318" s="1129"/>
    </row>
    <row r="319" spans="1:23" s="692" customFormat="1" ht="16.5" hidden="1" customHeight="1">
      <c r="A319" s="1124"/>
      <c r="B319" s="1131"/>
      <c r="C319" s="1126"/>
      <c r="D319" s="1137"/>
      <c r="E319" s="1124"/>
      <c r="F319" s="1140"/>
      <c r="G319" s="1131"/>
      <c r="H319" s="691">
        <v>154903</v>
      </c>
      <c r="I319" s="691">
        <v>92917</v>
      </c>
      <c r="J319" s="693">
        <f>K319+N319</f>
        <v>0</v>
      </c>
      <c r="K319" s="693">
        <f>L319+M319</f>
        <v>0</v>
      </c>
      <c r="L319" s="694">
        <v>0</v>
      </c>
      <c r="M319" s="694">
        <v>0</v>
      </c>
      <c r="N319" s="693">
        <f>O319+R319+U319</f>
        <v>0</v>
      </c>
      <c r="O319" s="693">
        <f>P319+Q319</f>
        <v>0</v>
      </c>
      <c r="P319" s="694">
        <v>0</v>
      </c>
      <c r="Q319" s="694">
        <v>0</v>
      </c>
      <c r="R319" s="693">
        <f>S319+T319</f>
        <v>0</v>
      </c>
      <c r="S319" s="694">
        <v>0</v>
      </c>
      <c r="T319" s="694">
        <v>0</v>
      </c>
      <c r="U319" s="693">
        <f>V319+W319</f>
        <v>0</v>
      </c>
      <c r="V319" s="694">
        <v>0</v>
      </c>
      <c r="W319" s="694">
        <v>0</v>
      </c>
    </row>
    <row r="320" spans="1:23" s="692" customFormat="1" ht="16.5" hidden="1" customHeight="1">
      <c r="A320" s="1124"/>
      <c r="B320" s="1131"/>
      <c r="C320" s="1126"/>
      <c r="D320" s="1137"/>
      <c r="E320" s="1124"/>
      <c r="F320" s="1140"/>
      <c r="G320" s="1131"/>
      <c r="H320" s="691">
        <v>0</v>
      </c>
      <c r="I320" s="691">
        <v>0</v>
      </c>
      <c r="J320" s="1128">
        <f t="shared" ref="J320:W320" si="60">J317+J319</f>
        <v>755553</v>
      </c>
      <c r="K320" s="1128">
        <f t="shared" si="60"/>
        <v>696386</v>
      </c>
      <c r="L320" s="1129">
        <f t="shared" si="60"/>
        <v>696386</v>
      </c>
      <c r="M320" s="1129">
        <f t="shared" si="60"/>
        <v>0</v>
      </c>
      <c r="N320" s="1128">
        <f t="shared" si="60"/>
        <v>59167</v>
      </c>
      <c r="O320" s="1128">
        <f t="shared" si="60"/>
        <v>59167</v>
      </c>
      <c r="P320" s="1129">
        <f t="shared" si="60"/>
        <v>59167</v>
      </c>
      <c r="Q320" s="1129">
        <f t="shared" si="60"/>
        <v>0</v>
      </c>
      <c r="R320" s="1128">
        <f t="shared" si="60"/>
        <v>0</v>
      </c>
      <c r="S320" s="1129">
        <f t="shared" si="60"/>
        <v>0</v>
      </c>
      <c r="T320" s="1129">
        <f t="shared" si="60"/>
        <v>0</v>
      </c>
      <c r="U320" s="1128">
        <f t="shared" si="60"/>
        <v>0</v>
      </c>
      <c r="V320" s="1129">
        <f t="shared" si="60"/>
        <v>0</v>
      </c>
      <c r="W320" s="1129">
        <f t="shared" si="60"/>
        <v>0</v>
      </c>
    </row>
    <row r="321" spans="1:23" s="692" customFormat="1" ht="16.5" hidden="1" customHeight="1">
      <c r="A321" s="1124"/>
      <c r="B321" s="1132"/>
      <c r="C321" s="1126"/>
      <c r="D321" s="1138"/>
      <c r="E321" s="1124"/>
      <c r="F321" s="1141"/>
      <c r="G321" s="1132"/>
      <c r="H321" s="691">
        <v>0</v>
      </c>
      <c r="I321" s="691">
        <v>0</v>
      </c>
      <c r="J321" s="1128"/>
      <c r="K321" s="1128"/>
      <c r="L321" s="1129"/>
      <c r="M321" s="1129"/>
      <c r="N321" s="1128"/>
      <c r="O321" s="1128"/>
      <c r="P321" s="1129"/>
      <c r="Q321" s="1129"/>
      <c r="R321" s="1128"/>
      <c r="S321" s="1129"/>
      <c r="T321" s="1129"/>
      <c r="U321" s="1128"/>
      <c r="V321" s="1129"/>
      <c r="W321" s="1129"/>
    </row>
    <row r="322" spans="1:23" s="692" customFormat="1" ht="16.5" hidden="1" customHeight="1">
      <c r="A322" s="1124">
        <v>40</v>
      </c>
      <c r="B322" s="1130" t="s">
        <v>870</v>
      </c>
      <c r="C322" s="1126" t="s">
        <v>871</v>
      </c>
      <c r="D322" s="1136" t="s">
        <v>872</v>
      </c>
      <c r="E322" s="1124" t="s">
        <v>756</v>
      </c>
      <c r="F322" s="1139" t="s">
        <v>857</v>
      </c>
      <c r="G322" s="1130" t="s">
        <v>873</v>
      </c>
      <c r="H322" s="691">
        <f>H323+H324+H325+H326</f>
        <v>3240000</v>
      </c>
      <c r="I322" s="691">
        <f>I323+I324+I325+I326</f>
        <v>592087</v>
      </c>
      <c r="J322" s="1128">
        <f>K322+N322</f>
        <v>480000</v>
      </c>
      <c r="K322" s="1128">
        <f>L322+M322</f>
        <v>408000</v>
      </c>
      <c r="L322" s="1129">
        <v>408000</v>
      </c>
      <c r="M322" s="1129">
        <v>0</v>
      </c>
      <c r="N322" s="1128">
        <f>O322+R322+U322</f>
        <v>72000</v>
      </c>
      <c r="O322" s="1128">
        <f>P322+Q322</f>
        <v>0</v>
      </c>
      <c r="P322" s="1129">
        <v>0</v>
      </c>
      <c r="Q322" s="1129">
        <v>0</v>
      </c>
      <c r="R322" s="1128">
        <f>S322+T322</f>
        <v>72000</v>
      </c>
      <c r="S322" s="1129">
        <v>72000</v>
      </c>
      <c r="T322" s="1129">
        <v>0</v>
      </c>
      <c r="U322" s="1128">
        <f>V322+W322</f>
        <v>0</v>
      </c>
      <c r="V322" s="1129">
        <v>0</v>
      </c>
      <c r="W322" s="1129">
        <v>0</v>
      </c>
    </row>
    <row r="323" spans="1:23" s="692" customFormat="1" ht="16.5" hidden="1" customHeight="1">
      <c r="A323" s="1124"/>
      <c r="B323" s="1131"/>
      <c r="C323" s="1126"/>
      <c r="D323" s="1137"/>
      <c r="E323" s="1124"/>
      <c r="F323" s="1140"/>
      <c r="G323" s="1131"/>
      <c r="H323" s="691">
        <v>2754000</v>
      </c>
      <c r="I323" s="691">
        <v>503274</v>
      </c>
      <c r="J323" s="1128"/>
      <c r="K323" s="1128"/>
      <c r="L323" s="1129"/>
      <c r="M323" s="1129"/>
      <c r="N323" s="1128"/>
      <c r="O323" s="1128"/>
      <c r="P323" s="1129"/>
      <c r="Q323" s="1129"/>
      <c r="R323" s="1128"/>
      <c r="S323" s="1129"/>
      <c r="T323" s="1129"/>
      <c r="U323" s="1128"/>
      <c r="V323" s="1129"/>
      <c r="W323" s="1129"/>
    </row>
    <row r="324" spans="1:23" s="692" customFormat="1" ht="16.5" hidden="1" customHeight="1">
      <c r="A324" s="1124"/>
      <c r="B324" s="1131"/>
      <c r="C324" s="1126"/>
      <c r="D324" s="1137"/>
      <c r="E324" s="1124"/>
      <c r="F324" s="1140"/>
      <c r="G324" s="1131"/>
      <c r="H324" s="691">
        <v>0</v>
      </c>
      <c r="I324" s="691">
        <v>0</v>
      </c>
      <c r="J324" s="693">
        <f>K324+N324</f>
        <v>0</v>
      </c>
      <c r="K324" s="693">
        <f>L324+M324</f>
        <v>0</v>
      </c>
      <c r="L324" s="694">
        <v>0</v>
      </c>
      <c r="M324" s="694">
        <v>0</v>
      </c>
      <c r="N324" s="693">
        <f>O324+R324+U324</f>
        <v>0</v>
      </c>
      <c r="O324" s="693">
        <f>P324+Q324</f>
        <v>0</v>
      </c>
      <c r="P324" s="694">
        <v>0</v>
      </c>
      <c r="Q324" s="694">
        <v>0</v>
      </c>
      <c r="R324" s="693">
        <f>S324+T324</f>
        <v>0</v>
      </c>
      <c r="S324" s="694">
        <v>0</v>
      </c>
      <c r="T324" s="694">
        <v>0</v>
      </c>
      <c r="U324" s="693">
        <f>V324+W324</f>
        <v>0</v>
      </c>
      <c r="V324" s="694">
        <v>0</v>
      </c>
      <c r="W324" s="694">
        <v>0</v>
      </c>
    </row>
    <row r="325" spans="1:23" s="692" customFormat="1" ht="16.5" hidden="1" customHeight="1">
      <c r="A325" s="1124"/>
      <c r="B325" s="1131"/>
      <c r="C325" s="1126"/>
      <c r="D325" s="1137"/>
      <c r="E325" s="1124"/>
      <c r="F325" s="1140"/>
      <c r="G325" s="1131"/>
      <c r="H325" s="691">
        <v>486000</v>
      </c>
      <c r="I325" s="691">
        <v>88813</v>
      </c>
      <c r="J325" s="1128">
        <f t="shared" ref="J325:W325" si="61">J322+J324</f>
        <v>480000</v>
      </c>
      <c r="K325" s="1128">
        <f t="shared" si="61"/>
        <v>408000</v>
      </c>
      <c r="L325" s="1129">
        <f t="shared" si="61"/>
        <v>408000</v>
      </c>
      <c r="M325" s="1129">
        <f t="shared" si="61"/>
        <v>0</v>
      </c>
      <c r="N325" s="1128">
        <f t="shared" si="61"/>
        <v>72000</v>
      </c>
      <c r="O325" s="1128">
        <f t="shared" si="61"/>
        <v>0</v>
      </c>
      <c r="P325" s="1129">
        <f t="shared" si="61"/>
        <v>0</v>
      </c>
      <c r="Q325" s="1129">
        <f t="shared" si="61"/>
        <v>0</v>
      </c>
      <c r="R325" s="1128">
        <f t="shared" si="61"/>
        <v>72000</v>
      </c>
      <c r="S325" s="1129">
        <f t="shared" si="61"/>
        <v>72000</v>
      </c>
      <c r="T325" s="1129">
        <f t="shared" si="61"/>
        <v>0</v>
      </c>
      <c r="U325" s="1128">
        <f t="shared" si="61"/>
        <v>0</v>
      </c>
      <c r="V325" s="1129">
        <f t="shared" si="61"/>
        <v>0</v>
      </c>
      <c r="W325" s="1129">
        <f t="shared" si="61"/>
        <v>0</v>
      </c>
    </row>
    <row r="326" spans="1:23" s="692" customFormat="1" ht="16.5" hidden="1" customHeight="1">
      <c r="A326" s="1124"/>
      <c r="B326" s="1132"/>
      <c r="C326" s="1126"/>
      <c r="D326" s="1138"/>
      <c r="E326" s="1124"/>
      <c r="F326" s="1141"/>
      <c r="G326" s="1132"/>
      <c r="H326" s="691">
        <v>0</v>
      </c>
      <c r="I326" s="691">
        <v>0</v>
      </c>
      <c r="J326" s="1128"/>
      <c r="K326" s="1128"/>
      <c r="L326" s="1129"/>
      <c r="M326" s="1129"/>
      <c r="N326" s="1128"/>
      <c r="O326" s="1128"/>
      <c r="P326" s="1129"/>
      <c r="Q326" s="1129"/>
      <c r="R326" s="1128"/>
      <c r="S326" s="1129"/>
      <c r="T326" s="1129"/>
      <c r="U326" s="1128"/>
      <c r="V326" s="1129"/>
      <c r="W326" s="1129"/>
    </row>
    <row r="327" spans="1:23" s="692" customFormat="1" ht="16.5" hidden="1" customHeight="1">
      <c r="A327" s="1124">
        <v>41</v>
      </c>
      <c r="B327" s="1130" t="s">
        <v>874</v>
      </c>
      <c r="C327" s="1126" t="s">
        <v>875</v>
      </c>
      <c r="D327" s="1136" t="s">
        <v>876</v>
      </c>
      <c r="E327" s="1124" t="s">
        <v>733</v>
      </c>
      <c r="F327" s="1139" t="s">
        <v>877</v>
      </c>
      <c r="G327" s="1130" t="s">
        <v>851</v>
      </c>
      <c r="H327" s="691">
        <f>H328+H329+H330+H331</f>
        <v>2441365</v>
      </c>
      <c r="I327" s="691">
        <f>I328+I329+I330+I331</f>
        <v>0</v>
      </c>
      <c r="J327" s="1128">
        <f>K327+N327</f>
        <v>0</v>
      </c>
      <c r="K327" s="1128">
        <f>L327+M327</f>
        <v>0</v>
      </c>
      <c r="L327" s="1129">
        <v>0</v>
      </c>
      <c r="M327" s="1129">
        <v>0</v>
      </c>
      <c r="N327" s="1128">
        <f>O327+R327+U327</f>
        <v>0</v>
      </c>
      <c r="O327" s="1128">
        <f>P327+Q327</f>
        <v>0</v>
      </c>
      <c r="P327" s="1129">
        <v>0</v>
      </c>
      <c r="Q327" s="1129">
        <v>0</v>
      </c>
      <c r="R327" s="1128">
        <f>S327+T327</f>
        <v>0</v>
      </c>
      <c r="S327" s="1129">
        <v>0</v>
      </c>
      <c r="T327" s="1129">
        <v>0</v>
      </c>
      <c r="U327" s="1128">
        <f>V327+W327</f>
        <v>0</v>
      </c>
      <c r="V327" s="1129">
        <v>0</v>
      </c>
      <c r="W327" s="1129">
        <v>0</v>
      </c>
    </row>
    <row r="328" spans="1:23" s="692" customFormat="1" ht="16.5" hidden="1" customHeight="1">
      <c r="A328" s="1124"/>
      <c r="B328" s="1131"/>
      <c r="C328" s="1126"/>
      <c r="D328" s="1137"/>
      <c r="E328" s="1124"/>
      <c r="F328" s="1140"/>
      <c r="G328" s="1131"/>
      <c r="H328" s="691">
        <v>2075160</v>
      </c>
      <c r="I328" s="691">
        <v>0</v>
      </c>
      <c r="J328" s="1128"/>
      <c r="K328" s="1128"/>
      <c r="L328" s="1129"/>
      <c r="M328" s="1129"/>
      <c r="N328" s="1128"/>
      <c r="O328" s="1128"/>
      <c r="P328" s="1129"/>
      <c r="Q328" s="1129"/>
      <c r="R328" s="1128"/>
      <c r="S328" s="1129"/>
      <c r="T328" s="1129"/>
      <c r="U328" s="1128"/>
      <c r="V328" s="1129"/>
      <c r="W328" s="1129"/>
    </row>
    <row r="329" spans="1:23" s="692" customFormat="1" ht="16.5" hidden="1" customHeight="1">
      <c r="A329" s="1124"/>
      <c r="B329" s="1131"/>
      <c r="C329" s="1126"/>
      <c r="D329" s="1137"/>
      <c r="E329" s="1124"/>
      <c r="F329" s="1140"/>
      <c r="G329" s="1131"/>
      <c r="H329" s="691">
        <v>0</v>
      </c>
      <c r="I329" s="691">
        <v>0</v>
      </c>
      <c r="J329" s="693">
        <f>K329+N329</f>
        <v>0</v>
      </c>
      <c r="K329" s="693">
        <f>L329+M329</f>
        <v>0</v>
      </c>
      <c r="L329" s="694">
        <v>0</v>
      </c>
      <c r="M329" s="694">
        <v>0</v>
      </c>
      <c r="N329" s="693">
        <f>O329+R329+U329</f>
        <v>0</v>
      </c>
      <c r="O329" s="693">
        <f>P329+Q329</f>
        <v>0</v>
      </c>
      <c r="P329" s="694">
        <v>0</v>
      </c>
      <c r="Q329" s="694">
        <v>0</v>
      </c>
      <c r="R329" s="693">
        <f>S329+T329</f>
        <v>0</v>
      </c>
      <c r="S329" s="694">
        <v>0</v>
      </c>
      <c r="T329" s="694">
        <v>0</v>
      </c>
      <c r="U329" s="693">
        <f>V329+W329</f>
        <v>0</v>
      </c>
      <c r="V329" s="694">
        <v>0</v>
      </c>
      <c r="W329" s="694">
        <v>0</v>
      </c>
    </row>
    <row r="330" spans="1:23" s="692" customFormat="1" ht="16.5" hidden="1" customHeight="1">
      <c r="A330" s="1124"/>
      <c r="B330" s="1131"/>
      <c r="C330" s="1126"/>
      <c r="D330" s="1137"/>
      <c r="E330" s="1124"/>
      <c r="F330" s="1140"/>
      <c r="G330" s="1131"/>
      <c r="H330" s="691">
        <v>366205</v>
      </c>
      <c r="I330" s="691">
        <v>0</v>
      </c>
      <c r="J330" s="1128">
        <f t="shared" ref="J330:W330" si="62">J327+J329</f>
        <v>0</v>
      </c>
      <c r="K330" s="1128">
        <f t="shared" si="62"/>
        <v>0</v>
      </c>
      <c r="L330" s="1129">
        <f t="shared" si="62"/>
        <v>0</v>
      </c>
      <c r="M330" s="1129">
        <f t="shared" si="62"/>
        <v>0</v>
      </c>
      <c r="N330" s="1128">
        <f t="shared" si="62"/>
        <v>0</v>
      </c>
      <c r="O330" s="1128">
        <f t="shared" si="62"/>
        <v>0</v>
      </c>
      <c r="P330" s="1129">
        <f t="shared" si="62"/>
        <v>0</v>
      </c>
      <c r="Q330" s="1129">
        <f t="shared" si="62"/>
        <v>0</v>
      </c>
      <c r="R330" s="1128">
        <f t="shared" si="62"/>
        <v>0</v>
      </c>
      <c r="S330" s="1129">
        <f t="shared" si="62"/>
        <v>0</v>
      </c>
      <c r="T330" s="1129">
        <f t="shared" si="62"/>
        <v>0</v>
      </c>
      <c r="U330" s="1128">
        <f t="shared" si="62"/>
        <v>0</v>
      </c>
      <c r="V330" s="1129">
        <f t="shared" si="62"/>
        <v>0</v>
      </c>
      <c r="W330" s="1129">
        <f t="shared" si="62"/>
        <v>0</v>
      </c>
    </row>
    <row r="331" spans="1:23" s="692" customFormat="1" ht="16.5" hidden="1" customHeight="1">
      <c r="A331" s="1124"/>
      <c r="B331" s="1132"/>
      <c r="C331" s="1126"/>
      <c r="D331" s="1138"/>
      <c r="E331" s="1124"/>
      <c r="F331" s="1141"/>
      <c r="G331" s="1132"/>
      <c r="H331" s="691">
        <v>0</v>
      </c>
      <c r="I331" s="691">
        <v>0</v>
      </c>
      <c r="J331" s="1128"/>
      <c r="K331" s="1128"/>
      <c r="L331" s="1129"/>
      <c r="M331" s="1129"/>
      <c r="N331" s="1128"/>
      <c r="O331" s="1128"/>
      <c r="P331" s="1129"/>
      <c r="Q331" s="1129"/>
      <c r="R331" s="1128"/>
      <c r="S331" s="1129"/>
      <c r="T331" s="1129"/>
      <c r="U331" s="1128"/>
      <c r="V331" s="1129"/>
      <c r="W331" s="1129"/>
    </row>
    <row r="332" spans="1:23" s="692" customFormat="1" ht="16.5" hidden="1" customHeight="1">
      <c r="A332" s="1124">
        <v>42</v>
      </c>
      <c r="B332" s="1130" t="s">
        <v>878</v>
      </c>
      <c r="C332" s="1126" t="s">
        <v>875</v>
      </c>
      <c r="D332" s="1136" t="s">
        <v>879</v>
      </c>
      <c r="E332" s="1124" t="s">
        <v>733</v>
      </c>
      <c r="F332" s="1139" t="s">
        <v>880</v>
      </c>
      <c r="G332" s="1130" t="s">
        <v>750</v>
      </c>
      <c r="H332" s="691">
        <f>H333+H334+H335+H336</f>
        <v>2764483</v>
      </c>
      <c r="I332" s="691">
        <f>I333+I334+I335+I336</f>
        <v>1158748</v>
      </c>
      <c r="J332" s="1128">
        <f>K332+N332</f>
        <v>437675</v>
      </c>
      <c r="K332" s="1128">
        <f>L332+M332</f>
        <v>391602</v>
      </c>
      <c r="L332" s="1129">
        <v>391602</v>
      </c>
      <c r="M332" s="1129">
        <v>0</v>
      </c>
      <c r="N332" s="1128">
        <f>O332+R332+U332</f>
        <v>46073</v>
      </c>
      <c r="O332" s="1128">
        <f>P332+Q332</f>
        <v>46073</v>
      </c>
      <c r="P332" s="1129">
        <v>46073</v>
      </c>
      <c r="Q332" s="1129">
        <v>0</v>
      </c>
      <c r="R332" s="1128">
        <f>S332+T332</f>
        <v>0</v>
      </c>
      <c r="S332" s="1129">
        <v>0</v>
      </c>
      <c r="T332" s="1129">
        <v>0</v>
      </c>
      <c r="U332" s="1128">
        <f>V332+W332</f>
        <v>0</v>
      </c>
      <c r="V332" s="1129">
        <v>0</v>
      </c>
      <c r="W332" s="1129">
        <v>0</v>
      </c>
    </row>
    <row r="333" spans="1:23" s="692" customFormat="1" ht="16.5" hidden="1" customHeight="1">
      <c r="A333" s="1124"/>
      <c r="B333" s="1131"/>
      <c r="C333" s="1126"/>
      <c r="D333" s="1137"/>
      <c r="E333" s="1124"/>
      <c r="F333" s="1140"/>
      <c r="G333" s="1131"/>
      <c r="H333" s="691">
        <v>2473485</v>
      </c>
      <c r="I333" s="691">
        <v>1036773</v>
      </c>
      <c r="J333" s="1128"/>
      <c r="K333" s="1128"/>
      <c r="L333" s="1129"/>
      <c r="M333" s="1129"/>
      <c r="N333" s="1128"/>
      <c r="O333" s="1128"/>
      <c r="P333" s="1129"/>
      <c r="Q333" s="1129"/>
      <c r="R333" s="1128"/>
      <c r="S333" s="1129"/>
      <c r="T333" s="1129"/>
      <c r="U333" s="1128"/>
      <c r="V333" s="1129"/>
      <c r="W333" s="1129"/>
    </row>
    <row r="334" spans="1:23" s="692" customFormat="1" ht="16.5" hidden="1" customHeight="1">
      <c r="A334" s="1124"/>
      <c r="B334" s="1131"/>
      <c r="C334" s="1126"/>
      <c r="D334" s="1137"/>
      <c r="E334" s="1124"/>
      <c r="F334" s="1140"/>
      <c r="G334" s="1131"/>
      <c r="H334" s="691">
        <v>290998</v>
      </c>
      <c r="I334" s="691">
        <v>121975</v>
      </c>
      <c r="J334" s="693">
        <f>K334+N334</f>
        <v>0</v>
      </c>
      <c r="K334" s="693">
        <f>L334+M334</f>
        <v>0</v>
      </c>
      <c r="L334" s="694">
        <v>0</v>
      </c>
      <c r="M334" s="694">
        <v>0</v>
      </c>
      <c r="N334" s="693">
        <f>O334+R334+U334</f>
        <v>0</v>
      </c>
      <c r="O334" s="693">
        <f>P334+Q334</f>
        <v>0</v>
      </c>
      <c r="P334" s="694">
        <v>0</v>
      </c>
      <c r="Q334" s="694">
        <v>0</v>
      </c>
      <c r="R334" s="693">
        <f>S334+T334</f>
        <v>0</v>
      </c>
      <c r="S334" s="694">
        <v>0</v>
      </c>
      <c r="T334" s="694">
        <v>0</v>
      </c>
      <c r="U334" s="693">
        <f>V334+W334</f>
        <v>0</v>
      </c>
      <c r="V334" s="694">
        <v>0</v>
      </c>
      <c r="W334" s="694">
        <v>0</v>
      </c>
    </row>
    <row r="335" spans="1:23" s="692" customFormat="1" ht="16.5" hidden="1" customHeight="1">
      <c r="A335" s="1124"/>
      <c r="B335" s="1131"/>
      <c r="C335" s="1126"/>
      <c r="D335" s="1137"/>
      <c r="E335" s="1124"/>
      <c r="F335" s="1140"/>
      <c r="G335" s="1131"/>
      <c r="H335" s="691">
        <v>0</v>
      </c>
      <c r="I335" s="691">
        <v>0</v>
      </c>
      <c r="J335" s="1128">
        <f t="shared" ref="J335:W335" si="63">J332+J334</f>
        <v>437675</v>
      </c>
      <c r="K335" s="1128">
        <f t="shared" si="63"/>
        <v>391602</v>
      </c>
      <c r="L335" s="1129">
        <f t="shared" si="63"/>
        <v>391602</v>
      </c>
      <c r="M335" s="1129">
        <f t="shared" si="63"/>
        <v>0</v>
      </c>
      <c r="N335" s="1128">
        <f t="shared" si="63"/>
        <v>46073</v>
      </c>
      <c r="O335" s="1128">
        <f t="shared" si="63"/>
        <v>46073</v>
      </c>
      <c r="P335" s="1129">
        <f t="shared" si="63"/>
        <v>46073</v>
      </c>
      <c r="Q335" s="1129">
        <f t="shared" si="63"/>
        <v>0</v>
      </c>
      <c r="R335" s="1128">
        <f t="shared" si="63"/>
        <v>0</v>
      </c>
      <c r="S335" s="1129">
        <f t="shared" si="63"/>
        <v>0</v>
      </c>
      <c r="T335" s="1129">
        <f t="shared" si="63"/>
        <v>0</v>
      </c>
      <c r="U335" s="1128">
        <f t="shared" si="63"/>
        <v>0</v>
      </c>
      <c r="V335" s="1129">
        <f t="shared" si="63"/>
        <v>0</v>
      </c>
      <c r="W335" s="1129">
        <f t="shared" si="63"/>
        <v>0</v>
      </c>
    </row>
    <row r="336" spans="1:23" s="692" customFormat="1" ht="16.5" hidden="1" customHeight="1">
      <c r="A336" s="1124"/>
      <c r="B336" s="1132"/>
      <c r="C336" s="1126"/>
      <c r="D336" s="1138"/>
      <c r="E336" s="1124"/>
      <c r="F336" s="1141"/>
      <c r="G336" s="1132"/>
      <c r="H336" s="691">
        <v>0</v>
      </c>
      <c r="I336" s="691">
        <v>0</v>
      </c>
      <c r="J336" s="1128"/>
      <c r="K336" s="1128"/>
      <c r="L336" s="1129"/>
      <c r="M336" s="1129"/>
      <c r="N336" s="1128"/>
      <c r="O336" s="1128"/>
      <c r="P336" s="1129"/>
      <c r="Q336" s="1129"/>
      <c r="R336" s="1128"/>
      <c r="S336" s="1129"/>
      <c r="T336" s="1129"/>
      <c r="U336" s="1128"/>
      <c r="V336" s="1129"/>
      <c r="W336" s="1129"/>
    </row>
    <row r="337" spans="1:23" s="692" customFormat="1" ht="16.5" hidden="1" customHeight="1">
      <c r="A337" s="1124">
        <v>43</v>
      </c>
      <c r="B337" s="1130" t="s">
        <v>878</v>
      </c>
      <c r="C337" s="1126" t="s">
        <v>875</v>
      </c>
      <c r="D337" s="1136" t="s">
        <v>881</v>
      </c>
      <c r="E337" s="1124" t="s">
        <v>733</v>
      </c>
      <c r="F337" s="1139" t="s">
        <v>880</v>
      </c>
      <c r="G337" s="1130" t="s">
        <v>873</v>
      </c>
      <c r="H337" s="691">
        <f>H338+H339+H340+H341</f>
        <v>3517126</v>
      </c>
      <c r="I337" s="691">
        <f>I338+I339+I340+I341</f>
        <v>952191</v>
      </c>
      <c r="J337" s="1128">
        <f>K337+N337</f>
        <v>1233843</v>
      </c>
      <c r="K337" s="1128">
        <f>L337+M337</f>
        <v>1233843</v>
      </c>
      <c r="L337" s="1129">
        <v>1233843</v>
      </c>
      <c r="M337" s="1129">
        <v>0</v>
      </c>
      <c r="N337" s="1128">
        <f>O337+R337+U337</f>
        <v>0</v>
      </c>
      <c r="O337" s="1128">
        <f>P337+Q337</f>
        <v>0</v>
      </c>
      <c r="P337" s="1129">
        <v>0</v>
      </c>
      <c r="Q337" s="1129">
        <v>0</v>
      </c>
      <c r="R337" s="1128">
        <f>S337+T337</f>
        <v>0</v>
      </c>
      <c r="S337" s="1129">
        <v>0</v>
      </c>
      <c r="T337" s="1129">
        <v>0</v>
      </c>
      <c r="U337" s="1128">
        <f>V337+W337</f>
        <v>0</v>
      </c>
      <c r="V337" s="1129">
        <v>0</v>
      </c>
      <c r="W337" s="1129">
        <v>0</v>
      </c>
    </row>
    <row r="338" spans="1:23" s="692" customFormat="1" ht="16.5" hidden="1" customHeight="1">
      <c r="A338" s="1124"/>
      <c r="B338" s="1131"/>
      <c r="C338" s="1126"/>
      <c r="D338" s="1137"/>
      <c r="E338" s="1124"/>
      <c r="F338" s="1140"/>
      <c r="G338" s="1131"/>
      <c r="H338" s="691">
        <v>3517126</v>
      </c>
      <c r="I338" s="691">
        <v>952191</v>
      </c>
      <c r="J338" s="1128"/>
      <c r="K338" s="1128"/>
      <c r="L338" s="1129"/>
      <c r="M338" s="1129"/>
      <c r="N338" s="1128"/>
      <c r="O338" s="1128"/>
      <c r="P338" s="1129"/>
      <c r="Q338" s="1129"/>
      <c r="R338" s="1128"/>
      <c r="S338" s="1129"/>
      <c r="T338" s="1129"/>
      <c r="U338" s="1128"/>
      <c r="V338" s="1129"/>
      <c r="W338" s="1129"/>
    </row>
    <row r="339" spans="1:23" s="692" customFormat="1" ht="16.5" hidden="1" customHeight="1">
      <c r="A339" s="1124"/>
      <c r="B339" s="1131"/>
      <c r="C339" s="1126"/>
      <c r="D339" s="1137"/>
      <c r="E339" s="1124"/>
      <c r="F339" s="1140"/>
      <c r="G339" s="1131"/>
      <c r="H339" s="691">
        <v>0</v>
      </c>
      <c r="I339" s="691">
        <v>0</v>
      </c>
      <c r="J339" s="693">
        <f>K339+N339</f>
        <v>0</v>
      </c>
      <c r="K339" s="693">
        <f>L339+M339</f>
        <v>0</v>
      </c>
      <c r="L339" s="694">
        <v>0</v>
      </c>
      <c r="M339" s="694">
        <v>0</v>
      </c>
      <c r="N339" s="693">
        <f>O339+R339+U339</f>
        <v>0</v>
      </c>
      <c r="O339" s="693">
        <f>P339+Q339</f>
        <v>0</v>
      </c>
      <c r="P339" s="694">
        <v>0</v>
      </c>
      <c r="Q339" s="694">
        <v>0</v>
      </c>
      <c r="R339" s="693">
        <f>S339+T339</f>
        <v>0</v>
      </c>
      <c r="S339" s="694">
        <v>0</v>
      </c>
      <c r="T339" s="694">
        <v>0</v>
      </c>
      <c r="U339" s="693">
        <f>V339+W339</f>
        <v>0</v>
      </c>
      <c r="V339" s="694">
        <v>0</v>
      </c>
      <c r="W339" s="694">
        <v>0</v>
      </c>
    </row>
    <row r="340" spans="1:23" s="692" customFormat="1" ht="16.5" hidden="1" customHeight="1">
      <c r="A340" s="1124"/>
      <c r="B340" s="1131"/>
      <c r="C340" s="1126"/>
      <c r="D340" s="1137"/>
      <c r="E340" s="1124"/>
      <c r="F340" s="1140"/>
      <c r="G340" s="1131"/>
      <c r="H340" s="691">
        <v>0</v>
      </c>
      <c r="I340" s="691">
        <v>0</v>
      </c>
      <c r="J340" s="1128">
        <f t="shared" ref="J340:W340" si="64">J337+J339</f>
        <v>1233843</v>
      </c>
      <c r="K340" s="1128">
        <f t="shared" si="64"/>
        <v>1233843</v>
      </c>
      <c r="L340" s="1129">
        <f t="shared" si="64"/>
        <v>1233843</v>
      </c>
      <c r="M340" s="1129">
        <f t="shared" si="64"/>
        <v>0</v>
      </c>
      <c r="N340" s="1128">
        <f t="shared" si="64"/>
        <v>0</v>
      </c>
      <c r="O340" s="1128">
        <f t="shared" si="64"/>
        <v>0</v>
      </c>
      <c r="P340" s="1129">
        <f t="shared" si="64"/>
        <v>0</v>
      </c>
      <c r="Q340" s="1129">
        <f t="shared" si="64"/>
        <v>0</v>
      </c>
      <c r="R340" s="1128">
        <f t="shared" si="64"/>
        <v>0</v>
      </c>
      <c r="S340" s="1129">
        <f t="shared" si="64"/>
        <v>0</v>
      </c>
      <c r="T340" s="1129">
        <f t="shared" si="64"/>
        <v>0</v>
      </c>
      <c r="U340" s="1128">
        <f t="shared" si="64"/>
        <v>0</v>
      </c>
      <c r="V340" s="1129">
        <f t="shared" si="64"/>
        <v>0</v>
      </c>
      <c r="W340" s="1129">
        <f t="shared" si="64"/>
        <v>0</v>
      </c>
    </row>
    <row r="341" spans="1:23" s="692" customFormat="1" ht="16.5" hidden="1" customHeight="1">
      <c r="A341" s="1124"/>
      <c r="B341" s="1132"/>
      <c r="C341" s="1126"/>
      <c r="D341" s="1138"/>
      <c r="E341" s="1124"/>
      <c r="F341" s="1141"/>
      <c r="G341" s="1132"/>
      <c r="H341" s="691">
        <v>0</v>
      </c>
      <c r="I341" s="691">
        <v>0</v>
      </c>
      <c r="J341" s="1128"/>
      <c r="K341" s="1128"/>
      <c r="L341" s="1129"/>
      <c r="M341" s="1129"/>
      <c r="N341" s="1128"/>
      <c r="O341" s="1128"/>
      <c r="P341" s="1129"/>
      <c r="Q341" s="1129"/>
      <c r="R341" s="1128"/>
      <c r="S341" s="1129"/>
      <c r="T341" s="1129"/>
      <c r="U341" s="1128"/>
      <c r="V341" s="1129"/>
      <c r="W341" s="1129"/>
    </row>
    <row r="342" spans="1:23" s="692" customFormat="1" ht="17.25" customHeight="1">
      <c r="A342" s="1124">
        <v>11</v>
      </c>
      <c r="B342" s="1130" t="s">
        <v>878</v>
      </c>
      <c r="C342" s="1126" t="s">
        <v>875</v>
      </c>
      <c r="D342" s="1136" t="s">
        <v>882</v>
      </c>
      <c r="E342" s="1124" t="s">
        <v>733</v>
      </c>
      <c r="F342" s="1139" t="s">
        <v>880</v>
      </c>
      <c r="G342" s="1130">
        <v>2020</v>
      </c>
      <c r="H342" s="691">
        <f>H343+H344+H345+H346</f>
        <v>1640939</v>
      </c>
      <c r="I342" s="691">
        <f>I343+I344+I345+I346</f>
        <v>0</v>
      </c>
      <c r="J342" s="1128">
        <f>K342+N342</f>
        <v>2122900</v>
      </c>
      <c r="K342" s="1128">
        <f>L342+M342</f>
        <v>1804465</v>
      </c>
      <c r="L342" s="1129">
        <v>1804465</v>
      </c>
      <c r="M342" s="1129">
        <v>0</v>
      </c>
      <c r="N342" s="1128">
        <f>O342+R342+U342</f>
        <v>318435</v>
      </c>
      <c r="O342" s="1128">
        <f>P342+Q342</f>
        <v>212290</v>
      </c>
      <c r="P342" s="1129">
        <v>212290</v>
      </c>
      <c r="Q342" s="1129">
        <v>0</v>
      </c>
      <c r="R342" s="1128">
        <f>S342+T342</f>
        <v>106145</v>
      </c>
      <c r="S342" s="1129">
        <v>106145</v>
      </c>
      <c r="T342" s="1129">
        <v>0</v>
      </c>
      <c r="U342" s="1128">
        <f>V342+W342</f>
        <v>0</v>
      </c>
      <c r="V342" s="1129">
        <v>0</v>
      </c>
      <c r="W342" s="1129">
        <v>0</v>
      </c>
    </row>
    <row r="343" spans="1:23" s="692" customFormat="1" ht="15" customHeight="1">
      <c r="A343" s="1124"/>
      <c r="B343" s="1131"/>
      <c r="C343" s="1126"/>
      <c r="D343" s="1137"/>
      <c r="E343" s="1124"/>
      <c r="F343" s="1140"/>
      <c r="G343" s="1131"/>
      <c r="H343" s="691">
        <v>1394795</v>
      </c>
      <c r="I343" s="691">
        <v>0</v>
      </c>
      <c r="J343" s="1128"/>
      <c r="K343" s="1128"/>
      <c r="L343" s="1129"/>
      <c r="M343" s="1129"/>
      <c r="N343" s="1128"/>
      <c r="O343" s="1128"/>
      <c r="P343" s="1129"/>
      <c r="Q343" s="1129"/>
      <c r="R343" s="1128"/>
      <c r="S343" s="1129"/>
      <c r="T343" s="1129"/>
      <c r="U343" s="1128"/>
      <c r="V343" s="1129"/>
      <c r="W343" s="1129"/>
    </row>
    <row r="344" spans="1:23" s="692" customFormat="1" ht="15" customHeight="1">
      <c r="A344" s="1124"/>
      <c r="B344" s="1131"/>
      <c r="C344" s="1126"/>
      <c r="D344" s="1137"/>
      <c r="E344" s="1124"/>
      <c r="F344" s="1140"/>
      <c r="G344" s="1131"/>
      <c r="H344" s="691">
        <v>164095</v>
      </c>
      <c r="I344" s="691">
        <v>0</v>
      </c>
      <c r="J344" s="693">
        <f>K344+N344</f>
        <v>-481961</v>
      </c>
      <c r="K344" s="693">
        <f>L344+M344</f>
        <v>-409670</v>
      </c>
      <c r="L344" s="694">
        <v>-409670</v>
      </c>
      <c r="M344" s="694">
        <v>0</v>
      </c>
      <c r="N344" s="693">
        <f>O344+R344+U344</f>
        <v>-72291</v>
      </c>
      <c r="O344" s="693">
        <f>P344+Q344</f>
        <v>-48195</v>
      </c>
      <c r="P344" s="694">
        <v>-48195</v>
      </c>
      <c r="Q344" s="694">
        <v>0</v>
      </c>
      <c r="R344" s="693">
        <f>S344+T344</f>
        <v>-24096</v>
      </c>
      <c r="S344" s="694">
        <v>-24096</v>
      </c>
      <c r="T344" s="694">
        <v>0</v>
      </c>
      <c r="U344" s="693">
        <f>V344+W344</f>
        <v>0</v>
      </c>
      <c r="V344" s="694">
        <v>0</v>
      </c>
      <c r="W344" s="694">
        <v>0</v>
      </c>
    </row>
    <row r="345" spans="1:23" s="692" customFormat="1" ht="15" customHeight="1">
      <c r="A345" s="1124"/>
      <c r="B345" s="1131"/>
      <c r="C345" s="1126"/>
      <c r="D345" s="1137"/>
      <c r="E345" s="1124"/>
      <c r="F345" s="1140"/>
      <c r="G345" s="1131"/>
      <c r="H345" s="691">
        <v>82049</v>
      </c>
      <c r="I345" s="691">
        <v>0</v>
      </c>
      <c r="J345" s="1128">
        <f t="shared" ref="J345:W345" si="65">J342+J344</f>
        <v>1640939</v>
      </c>
      <c r="K345" s="1128">
        <f t="shared" si="65"/>
        <v>1394795</v>
      </c>
      <c r="L345" s="1129">
        <f t="shared" si="65"/>
        <v>1394795</v>
      </c>
      <c r="M345" s="1129">
        <f t="shared" si="65"/>
        <v>0</v>
      </c>
      <c r="N345" s="1128">
        <f t="shared" si="65"/>
        <v>246144</v>
      </c>
      <c r="O345" s="1128">
        <f t="shared" si="65"/>
        <v>164095</v>
      </c>
      <c r="P345" s="1129">
        <f t="shared" si="65"/>
        <v>164095</v>
      </c>
      <c r="Q345" s="1129">
        <f t="shared" si="65"/>
        <v>0</v>
      </c>
      <c r="R345" s="1128">
        <f t="shared" si="65"/>
        <v>82049</v>
      </c>
      <c r="S345" s="1129">
        <f t="shared" si="65"/>
        <v>82049</v>
      </c>
      <c r="T345" s="1129">
        <f t="shared" si="65"/>
        <v>0</v>
      </c>
      <c r="U345" s="1128">
        <f t="shared" si="65"/>
        <v>0</v>
      </c>
      <c r="V345" s="1129">
        <f t="shared" si="65"/>
        <v>0</v>
      </c>
      <c r="W345" s="1129">
        <f t="shared" si="65"/>
        <v>0</v>
      </c>
    </row>
    <row r="346" spans="1:23" s="692" customFormat="1" ht="15" customHeight="1">
      <c r="A346" s="1124"/>
      <c r="B346" s="1132"/>
      <c r="C346" s="1126"/>
      <c r="D346" s="1138"/>
      <c r="E346" s="1124"/>
      <c r="F346" s="1141"/>
      <c r="G346" s="1132"/>
      <c r="H346" s="691">
        <v>0</v>
      </c>
      <c r="I346" s="691">
        <v>0</v>
      </c>
      <c r="J346" s="1128"/>
      <c r="K346" s="1128"/>
      <c r="L346" s="1129"/>
      <c r="M346" s="1129"/>
      <c r="N346" s="1128"/>
      <c r="O346" s="1128"/>
      <c r="P346" s="1129"/>
      <c r="Q346" s="1129"/>
      <c r="R346" s="1128"/>
      <c r="S346" s="1129"/>
      <c r="T346" s="1129"/>
      <c r="U346" s="1128"/>
      <c r="V346" s="1129"/>
      <c r="W346" s="1129"/>
    </row>
    <row r="347" spans="1:23" s="692" customFormat="1" ht="15" hidden="1" customHeight="1">
      <c r="A347" s="1124">
        <v>23</v>
      </c>
      <c r="B347" s="1130" t="s">
        <v>883</v>
      </c>
      <c r="C347" s="1126" t="s">
        <v>875</v>
      </c>
      <c r="D347" s="1136" t="s">
        <v>884</v>
      </c>
      <c r="E347" s="1124" t="s">
        <v>733</v>
      </c>
      <c r="F347" s="1139" t="s">
        <v>885</v>
      </c>
      <c r="G347" s="1130" t="s">
        <v>735</v>
      </c>
      <c r="H347" s="691">
        <f>H348+H349+H350+H351</f>
        <v>19999350</v>
      </c>
      <c r="I347" s="691">
        <f>I348+I349+I350+I351</f>
        <v>12755753</v>
      </c>
      <c r="J347" s="1128">
        <f>K347+N347</f>
        <v>2258700</v>
      </c>
      <c r="K347" s="1128">
        <f>L347+M347</f>
        <v>1919895</v>
      </c>
      <c r="L347" s="1129">
        <v>1919895</v>
      </c>
      <c r="M347" s="1129">
        <v>0</v>
      </c>
      <c r="N347" s="1128">
        <f>O347+R347+U347</f>
        <v>338805</v>
      </c>
      <c r="O347" s="1128">
        <f>P347+Q347</f>
        <v>338805</v>
      </c>
      <c r="P347" s="1129">
        <v>338805</v>
      </c>
      <c r="Q347" s="1129">
        <v>0</v>
      </c>
      <c r="R347" s="1128">
        <f>S347+T347</f>
        <v>0</v>
      </c>
      <c r="S347" s="1129">
        <v>0</v>
      </c>
      <c r="T347" s="1129">
        <v>0</v>
      </c>
      <c r="U347" s="1128">
        <f>V347+W347</f>
        <v>0</v>
      </c>
      <c r="V347" s="1129">
        <v>0</v>
      </c>
      <c r="W347" s="1129">
        <v>0</v>
      </c>
    </row>
    <row r="348" spans="1:23" s="692" customFormat="1" ht="15" hidden="1" customHeight="1">
      <c r="A348" s="1124"/>
      <c r="B348" s="1131"/>
      <c r="C348" s="1126"/>
      <c r="D348" s="1137"/>
      <c r="E348" s="1124"/>
      <c r="F348" s="1140"/>
      <c r="G348" s="1131"/>
      <c r="H348" s="691">
        <v>16999447</v>
      </c>
      <c r="I348" s="691">
        <v>10842390</v>
      </c>
      <c r="J348" s="1128"/>
      <c r="K348" s="1128"/>
      <c r="L348" s="1129"/>
      <c r="M348" s="1129"/>
      <c r="N348" s="1128"/>
      <c r="O348" s="1128"/>
      <c r="P348" s="1129"/>
      <c r="Q348" s="1129"/>
      <c r="R348" s="1128"/>
      <c r="S348" s="1129"/>
      <c r="T348" s="1129"/>
      <c r="U348" s="1128"/>
      <c r="V348" s="1129"/>
      <c r="W348" s="1129"/>
    </row>
    <row r="349" spans="1:23" s="692" customFormat="1" ht="15" hidden="1" customHeight="1">
      <c r="A349" s="1124"/>
      <c r="B349" s="1131"/>
      <c r="C349" s="1126"/>
      <c r="D349" s="1137"/>
      <c r="E349" s="1124"/>
      <c r="F349" s="1140"/>
      <c r="G349" s="1131"/>
      <c r="H349" s="691">
        <v>2999903</v>
      </c>
      <c r="I349" s="691">
        <v>1913363</v>
      </c>
      <c r="J349" s="693">
        <f>K349+N349</f>
        <v>0</v>
      </c>
      <c r="K349" s="693">
        <f>L349+M349</f>
        <v>0</v>
      </c>
      <c r="L349" s="694">
        <v>0</v>
      </c>
      <c r="M349" s="694">
        <v>0</v>
      </c>
      <c r="N349" s="693">
        <f>O349+R349+U349</f>
        <v>0</v>
      </c>
      <c r="O349" s="693">
        <f>P349+Q349</f>
        <v>0</v>
      </c>
      <c r="P349" s="694">
        <v>0</v>
      </c>
      <c r="Q349" s="694">
        <v>0</v>
      </c>
      <c r="R349" s="693">
        <f>S349+T349</f>
        <v>0</v>
      </c>
      <c r="S349" s="694">
        <v>0</v>
      </c>
      <c r="T349" s="694">
        <v>0</v>
      </c>
      <c r="U349" s="693">
        <f>V349+W349</f>
        <v>0</v>
      </c>
      <c r="V349" s="694">
        <v>0</v>
      </c>
      <c r="W349" s="694">
        <v>0</v>
      </c>
    </row>
    <row r="350" spans="1:23" s="692" customFormat="1" ht="15" hidden="1" customHeight="1">
      <c r="A350" s="1124"/>
      <c r="B350" s="1131"/>
      <c r="C350" s="1126"/>
      <c r="D350" s="1137"/>
      <c r="E350" s="1124"/>
      <c r="F350" s="1140"/>
      <c r="G350" s="1131"/>
      <c r="H350" s="691">
        <v>0</v>
      </c>
      <c r="I350" s="691">
        <v>0</v>
      </c>
      <c r="J350" s="1128">
        <f t="shared" ref="J350:W350" si="66">J347+J349</f>
        <v>2258700</v>
      </c>
      <c r="K350" s="1128">
        <f t="shared" si="66"/>
        <v>1919895</v>
      </c>
      <c r="L350" s="1129">
        <f t="shared" si="66"/>
        <v>1919895</v>
      </c>
      <c r="M350" s="1129">
        <f t="shared" si="66"/>
        <v>0</v>
      </c>
      <c r="N350" s="1128">
        <f t="shared" si="66"/>
        <v>338805</v>
      </c>
      <c r="O350" s="1128">
        <f t="shared" si="66"/>
        <v>338805</v>
      </c>
      <c r="P350" s="1129">
        <f t="shared" si="66"/>
        <v>338805</v>
      </c>
      <c r="Q350" s="1129">
        <f t="shared" si="66"/>
        <v>0</v>
      </c>
      <c r="R350" s="1128">
        <f t="shared" si="66"/>
        <v>0</v>
      </c>
      <c r="S350" s="1129">
        <f t="shared" si="66"/>
        <v>0</v>
      </c>
      <c r="T350" s="1129">
        <f t="shared" si="66"/>
        <v>0</v>
      </c>
      <c r="U350" s="1128">
        <f t="shared" si="66"/>
        <v>0</v>
      </c>
      <c r="V350" s="1129">
        <f t="shared" si="66"/>
        <v>0</v>
      </c>
      <c r="W350" s="1129">
        <f t="shared" si="66"/>
        <v>0</v>
      </c>
    </row>
    <row r="351" spans="1:23" s="692" customFormat="1" ht="15" hidden="1" customHeight="1">
      <c r="A351" s="1124"/>
      <c r="B351" s="1132"/>
      <c r="C351" s="1126"/>
      <c r="D351" s="1138"/>
      <c r="E351" s="1124"/>
      <c r="F351" s="1141"/>
      <c r="G351" s="1132"/>
      <c r="H351" s="691">
        <v>0</v>
      </c>
      <c r="I351" s="691">
        <v>0</v>
      </c>
      <c r="J351" s="1128"/>
      <c r="K351" s="1128"/>
      <c r="L351" s="1129"/>
      <c r="M351" s="1129"/>
      <c r="N351" s="1128"/>
      <c r="O351" s="1128"/>
      <c r="P351" s="1129"/>
      <c r="Q351" s="1129"/>
      <c r="R351" s="1128"/>
      <c r="S351" s="1129"/>
      <c r="T351" s="1129"/>
      <c r="U351" s="1128"/>
      <c r="V351" s="1129"/>
      <c r="W351" s="1129"/>
    </row>
    <row r="352" spans="1:23" s="692" customFormat="1" ht="15.75" hidden="1" customHeight="1">
      <c r="A352" s="1124">
        <v>24</v>
      </c>
      <c r="B352" s="1130" t="s">
        <v>883</v>
      </c>
      <c r="C352" s="1126" t="s">
        <v>875</v>
      </c>
      <c r="D352" s="1136" t="s">
        <v>886</v>
      </c>
      <c r="E352" s="1124" t="s">
        <v>733</v>
      </c>
      <c r="F352" s="1139" t="s">
        <v>885</v>
      </c>
      <c r="G352" s="1130" t="s">
        <v>780</v>
      </c>
      <c r="H352" s="691">
        <f>H353+H354+H355+H356</f>
        <v>6100050</v>
      </c>
      <c r="I352" s="691">
        <f>I353+I354+I355+I356</f>
        <v>1216748</v>
      </c>
      <c r="J352" s="1128">
        <f>K352+N352</f>
        <v>1494350</v>
      </c>
      <c r="K352" s="1128">
        <f>L352+M352</f>
        <v>1270198</v>
      </c>
      <c r="L352" s="1129">
        <v>1270198</v>
      </c>
      <c r="M352" s="1129">
        <v>0</v>
      </c>
      <c r="N352" s="1128">
        <f>O352+R352+U352</f>
        <v>224152</v>
      </c>
      <c r="O352" s="1128">
        <f>P352+Q352</f>
        <v>224152</v>
      </c>
      <c r="P352" s="1129">
        <v>224152</v>
      </c>
      <c r="Q352" s="1129">
        <v>0</v>
      </c>
      <c r="R352" s="1128">
        <f>S352+T352</f>
        <v>0</v>
      </c>
      <c r="S352" s="1129">
        <v>0</v>
      </c>
      <c r="T352" s="1129">
        <v>0</v>
      </c>
      <c r="U352" s="1128">
        <f>V352+W352</f>
        <v>0</v>
      </c>
      <c r="V352" s="1129">
        <v>0</v>
      </c>
      <c r="W352" s="1129">
        <v>0</v>
      </c>
    </row>
    <row r="353" spans="1:23" s="692" customFormat="1" ht="15.75" hidden="1" customHeight="1">
      <c r="A353" s="1124"/>
      <c r="B353" s="1131"/>
      <c r="C353" s="1126"/>
      <c r="D353" s="1137"/>
      <c r="E353" s="1124"/>
      <c r="F353" s="1140"/>
      <c r="G353" s="1131"/>
      <c r="H353" s="691">
        <v>5185043</v>
      </c>
      <c r="I353" s="691">
        <v>1034236</v>
      </c>
      <c r="J353" s="1128"/>
      <c r="K353" s="1128"/>
      <c r="L353" s="1129"/>
      <c r="M353" s="1129"/>
      <c r="N353" s="1128"/>
      <c r="O353" s="1128"/>
      <c r="P353" s="1129"/>
      <c r="Q353" s="1129"/>
      <c r="R353" s="1128"/>
      <c r="S353" s="1129"/>
      <c r="T353" s="1129"/>
      <c r="U353" s="1128"/>
      <c r="V353" s="1129"/>
      <c r="W353" s="1129"/>
    </row>
    <row r="354" spans="1:23" s="692" customFormat="1" ht="15.75" hidden="1" customHeight="1">
      <c r="A354" s="1124"/>
      <c r="B354" s="1131"/>
      <c r="C354" s="1126"/>
      <c r="D354" s="1137"/>
      <c r="E354" s="1124"/>
      <c r="F354" s="1140"/>
      <c r="G354" s="1131"/>
      <c r="H354" s="691">
        <v>915007</v>
      </c>
      <c r="I354" s="691">
        <v>182512</v>
      </c>
      <c r="J354" s="693">
        <f>K354+N354</f>
        <v>0</v>
      </c>
      <c r="K354" s="693">
        <f>L354+M354</f>
        <v>0</v>
      </c>
      <c r="L354" s="694">
        <v>0</v>
      </c>
      <c r="M354" s="694">
        <v>0</v>
      </c>
      <c r="N354" s="693">
        <f>O354+R354+U354</f>
        <v>0</v>
      </c>
      <c r="O354" s="693">
        <f>P354+Q354</f>
        <v>0</v>
      </c>
      <c r="P354" s="694">
        <v>0</v>
      </c>
      <c r="Q354" s="694">
        <v>0</v>
      </c>
      <c r="R354" s="693">
        <f>S354+T354</f>
        <v>0</v>
      </c>
      <c r="S354" s="694">
        <v>0</v>
      </c>
      <c r="T354" s="694">
        <v>0</v>
      </c>
      <c r="U354" s="693">
        <f>V354+W354</f>
        <v>0</v>
      </c>
      <c r="V354" s="694">
        <v>0</v>
      </c>
      <c r="W354" s="694">
        <v>0</v>
      </c>
    </row>
    <row r="355" spans="1:23" s="692" customFormat="1" ht="15.75" hidden="1" customHeight="1">
      <c r="A355" s="1124"/>
      <c r="B355" s="1131"/>
      <c r="C355" s="1126"/>
      <c r="D355" s="1137"/>
      <c r="E355" s="1124"/>
      <c r="F355" s="1140"/>
      <c r="G355" s="1131"/>
      <c r="H355" s="691">
        <v>0</v>
      </c>
      <c r="I355" s="691">
        <v>0</v>
      </c>
      <c r="J355" s="1128">
        <f t="shared" ref="J355:W355" si="67">J352+J354</f>
        <v>1494350</v>
      </c>
      <c r="K355" s="1128">
        <f t="shared" si="67"/>
        <v>1270198</v>
      </c>
      <c r="L355" s="1129">
        <f t="shared" si="67"/>
        <v>1270198</v>
      </c>
      <c r="M355" s="1129">
        <f t="shared" si="67"/>
        <v>0</v>
      </c>
      <c r="N355" s="1128">
        <f t="shared" si="67"/>
        <v>224152</v>
      </c>
      <c r="O355" s="1128">
        <f t="shared" si="67"/>
        <v>224152</v>
      </c>
      <c r="P355" s="1129">
        <f t="shared" si="67"/>
        <v>224152</v>
      </c>
      <c r="Q355" s="1129">
        <f t="shared" si="67"/>
        <v>0</v>
      </c>
      <c r="R355" s="1128">
        <f t="shared" si="67"/>
        <v>0</v>
      </c>
      <c r="S355" s="1129">
        <f t="shared" si="67"/>
        <v>0</v>
      </c>
      <c r="T355" s="1129">
        <f t="shared" si="67"/>
        <v>0</v>
      </c>
      <c r="U355" s="1128">
        <f t="shared" si="67"/>
        <v>0</v>
      </c>
      <c r="V355" s="1129">
        <f t="shared" si="67"/>
        <v>0</v>
      </c>
      <c r="W355" s="1129">
        <f t="shared" si="67"/>
        <v>0</v>
      </c>
    </row>
    <row r="356" spans="1:23" s="692" customFormat="1" ht="15.75" hidden="1" customHeight="1">
      <c r="A356" s="1124"/>
      <c r="B356" s="1132"/>
      <c r="C356" s="1126"/>
      <c r="D356" s="1138"/>
      <c r="E356" s="1124"/>
      <c r="F356" s="1141"/>
      <c r="G356" s="1132"/>
      <c r="H356" s="691">
        <v>0</v>
      </c>
      <c r="I356" s="691">
        <v>0</v>
      </c>
      <c r="J356" s="1128"/>
      <c r="K356" s="1128"/>
      <c r="L356" s="1129"/>
      <c r="M356" s="1129"/>
      <c r="N356" s="1128"/>
      <c r="O356" s="1128"/>
      <c r="P356" s="1129"/>
      <c r="Q356" s="1129"/>
      <c r="R356" s="1128"/>
      <c r="S356" s="1129"/>
      <c r="T356" s="1129"/>
      <c r="U356" s="1128"/>
      <c r="V356" s="1129"/>
      <c r="W356" s="1129"/>
    </row>
    <row r="357" spans="1:23" s="692" customFormat="1" ht="15.75" hidden="1" customHeight="1">
      <c r="A357" s="1124">
        <v>25</v>
      </c>
      <c r="B357" s="1130" t="s">
        <v>887</v>
      </c>
      <c r="C357" s="1126" t="s">
        <v>888</v>
      </c>
      <c r="D357" s="1136" t="s">
        <v>889</v>
      </c>
      <c r="E357" s="1124" t="s">
        <v>733</v>
      </c>
      <c r="F357" s="1139" t="s">
        <v>885</v>
      </c>
      <c r="G357" s="1130" t="s">
        <v>873</v>
      </c>
      <c r="H357" s="691">
        <f>H358+H359+H360+H361</f>
        <v>7914500</v>
      </c>
      <c r="I357" s="691">
        <f>I358+I359+I360+I361</f>
        <v>1512526</v>
      </c>
      <c r="J357" s="1128">
        <f>K357+N357</f>
        <v>1537250</v>
      </c>
      <c r="K357" s="1128">
        <f>L357+M357</f>
        <v>1306662</v>
      </c>
      <c r="L357" s="1129">
        <v>1306662</v>
      </c>
      <c r="M357" s="1129">
        <v>0</v>
      </c>
      <c r="N357" s="1128">
        <f>O357+R357+U357</f>
        <v>230588</v>
      </c>
      <c r="O357" s="1128">
        <f>P357+Q357</f>
        <v>230588</v>
      </c>
      <c r="P357" s="1129">
        <v>230588</v>
      </c>
      <c r="Q357" s="1129">
        <v>0</v>
      </c>
      <c r="R357" s="1128">
        <f>S357+T357</f>
        <v>0</v>
      </c>
      <c r="S357" s="1129">
        <v>0</v>
      </c>
      <c r="T357" s="1129">
        <v>0</v>
      </c>
      <c r="U357" s="1128">
        <f>V357+W357</f>
        <v>0</v>
      </c>
      <c r="V357" s="1129">
        <v>0</v>
      </c>
      <c r="W357" s="1129">
        <v>0</v>
      </c>
    </row>
    <row r="358" spans="1:23" s="692" customFormat="1" ht="15.75" hidden="1" customHeight="1">
      <c r="A358" s="1124"/>
      <c r="B358" s="1131"/>
      <c r="C358" s="1126"/>
      <c r="D358" s="1137"/>
      <c r="E358" s="1124"/>
      <c r="F358" s="1140"/>
      <c r="G358" s="1131"/>
      <c r="H358" s="691">
        <v>6727325</v>
      </c>
      <c r="I358" s="691">
        <v>1285647</v>
      </c>
      <c r="J358" s="1128"/>
      <c r="K358" s="1128"/>
      <c r="L358" s="1129"/>
      <c r="M358" s="1129"/>
      <c r="N358" s="1128"/>
      <c r="O358" s="1128"/>
      <c r="P358" s="1129"/>
      <c r="Q358" s="1129"/>
      <c r="R358" s="1128"/>
      <c r="S358" s="1129"/>
      <c r="T358" s="1129"/>
      <c r="U358" s="1128"/>
      <c r="V358" s="1129"/>
      <c r="W358" s="1129"/>
    </row>
    <row r="359" spans="1:23" s="692" customFormat="1" ht="15.75" hidden="1" customHeight="1">
      <c r="A359" s="1124"/>
      <c r="B359" s="1131"/>
      <c r="C359" s="1126"/>
      <c r="D359" s="1137"/>
      <c r="E359" s="1124"/>
      <c r="F359" s="1140"/>
      <c r="G359" s="1131"/>
      <c r="H359" s="691">
        <v>1187175</v>
      </c>
      <c r="I359" s="691">
        <v>226879</v>
      </c>
      <c r="J359" s="693">
        <f>K359+N359</f>
        <v>0</v>
      </c>
      <c r="K359" s="693">
        <f>L359+M359</f>
        <v>0</v>
      </c>
      <c r="L359" s="694">
        <v>0</v>
      </c>
      <c r="M359" s="694">
        <v>0</v>
      </c>
      <c r="N359" s="693">
        <f>O359+R359+U359</f>
        <v>0</v>
      </c>
      <c r="O359" s="693">
        <f>P359+Q359</f>
        <v>0</v>
      </c>
      <c r="P359" s="694">
        <v>0</v>
      </c>
      <c r="Q359" s="694">
        <v>0</v>
      </c>
      <c r="R359" s="693">
        <f>S359+T359</f>
        <v>0</v>
      </c>
      <c r="S359" s="694">
        <v>0</v>
      </c>
      <c r="T359" s="694">
        <v>0</v>
      </c>
      <c r="U359" s="693">
        <f>V359+W359</f>
        <v>0</v>
      </c>
      <c r="V359" s="694">
        <v>0</v>
      </c>
      <c r="W359" s="694">
        <v>0</v>
      </c>
    </row>
    <row r="360" spans="1:23" s="692" customFormat="1" ht="15.75" hidden="1" customHeight="1">
      <c r="A360" s="1124"/>
      <c r="B360" s="1131"/>
      <c r="C360" s="1126"/>
      <c r="D360" s="1137"/>
      <c r="E360" s="1124"/>
      <c r="F360" s="1140"/>
      <c r="G360" s="1131"/>
      <c r="H360" s="691">
        <v>0</v>
      </c>
      <c r="I360" s="691">
        <v>0</v>
      </c>
      <c r="J360" s="1128">
        <f t="shared" ref="J360:W360" si="68">J357+J359</f>
        <v>1537250</v>
      </c>
      <c r="K360" s="1128">
        <f t="shared" si="68"/>
        <v>1306662</v>
      </c>
      <c r="L360" s="1129">
        <f t="shared" si="68"/>
        <v>1306662</v>
      </c>
      <c r="M360" s="1129">
        <f t="shared" si="68"/>
        <v>0</v>
      </c>
      <c r="N360" s="1128">
        <f t="shared" si="68"/>
        <v>230588</v>
      </c>
      <c r="O360" s="1128">
        <f t="shared" si="68"/>
        <v>230588</v>
      </c>
      <c r="P360" s="1129">
        <f t="shared" si="68"/>
        <v>230588</v>
      </c>
      <c r="Q360" s="1129">
        <f t="shared" si="68"/>
        <v>0</v>
      </c>
      <c r="R360" s="1128">
        <f t="shared" si="68"/>
        <v>0</v>
      </c>
      <c r="S360" s="1129">
        <f t="shared" si="68"/>
        <v>0</v>
      </c>
      <c r="T360" s="1129">
        <f t="shared" si="68"/>
        <v>0</v>
      </c>
      <c r="U360" s="1128">
        <f t="shared" si="68"/>
        <v>0</v>
      </c>
      <c r="V360" s="1129">
        <f t="shared" si="68"/>
        <v>0</v>
      </c>
      <c r="W360" s="1129">
        <f t="shared" si="68"/>
        <v>0</v>
      </c>
    </row>
    <row r="361" spans="1:23" s="692" customFormat="1" ht="15.75" hidden="1" customHeight="1">
      <c r="A361" s="1124"/>
      <c r="B361" s="1132"/>
      <c r="C361" s="1126"/>
      <c r="D361" s="1138"/>
      <c r="E361" s="1124"/>
      <c r="F361" s="1141"/>
      <c r="G361" s="1132"/>
      <c r="H361" s="691">
        <v>0</v>
      </c>
      <c r="I361" s="691">
        <v>0</v>
      </c>
      <c r="J361" s="1128"/>
      <c r="K361" s="1128"/>
      <c r="L361" s="1129"/>
      <c r="M361" s="1129"/>
      <c r="N361" s="1128"/>
      <c r="O361" s="1128"/>
      <c r="P361" s="1129"/>
      <c r="Q361" s="1129"/>
      <c r="R361" s="1128"/>
      <c r="S361" s="1129"/>
      <c r="T361" s="1129"/>
      <c r="U361" s="1128"/>
      <c r="V361" s="1129"/>
      <c r="W361" s="1129"/>
    </row>
    <row r="362" spans="1:23" s="692" customFormat="1" ht="15" hidden="1" customHeight="1">
      <c r="A362" s="1124">
        <v>44</v>
      </c>
      <c r="B362" s="1130" t="s">
        <v>890</v>
      </c>
      <c r="C362" s="1126" t="s">
        <v>891</v>
      </c>
      <c r="D362" s="1136" t="s">
        <v>892</v>
      </c>
      <c r="E362" s="1124" t="s">
        <v>733</v>
      </c>
      <c r="F362" s="1139" t="s">
        <v>893</v>
      </c>
      <c r="G362" s="1130" t="s">
        <v>740</v>
      </c>
      <c r="H362" s="691">
        <f>H363+H364+H365+H366</f>
        <v>26644347</v>
      </c>
      <c r="I362" s="691">
        <f>I363+I364+I365+I366</f>
        <v>6858020</v>
      </c>
      <c r="J362" s="1128">
        <f>K362+N362</f>
        <v>275181</v>
      </c>
      <c r="K362" s="1128">
        <f>L362+M362</f>
        <v>127019</v>
      </c>
      <c r="L362" s="1129">
        <v>127019</v>
      </c>
      <c r="M362" s="1129">
        <v>0</v>
      </c>
      <c r="N362" s="1128">
        <f>O362+R362+U362</f>
        <v>148162</v>
      </c>
      <c r="O362" s="1128">
        <f>P362+Q362</f>
        <v>10572</v>
      </c>
      <c r="P362" s="1129">
        <v>10572</v>
      </c>
      <c r="Q362" s="1129">
        <v>0</v>
      </c>
      <c r="R362" s="1128">
        <f>S362+T362</f>
        <v>137590</v>
      </c>
      <c r="S362" s="1129">
        <v>137590</v>
      </c>
      <c r="T362" s="1129">
        <v>0</v>
      </c>
      <c r="U362" s="1128">
        <f>V362+W362</f>
        <v>0</v>
      </c>
      <c r="V362" s="1129">
        <v>0</v>
      </c>
      <c r="W362" s="1129">
        <v>0</v>
      </c>
    </row>
    <row r="363" spans="1:23" s="692" customFormat="1" ht="15" hidden="1" customHeight="1">
      <c r="A363" s="1124"/>
      <c r="B363" s="1131"/>
      <c r="C363" s="1126"/>
      <c r="D363" s="1137"/>
      <c r="E363" s="1124"/>
      <c r="F363" s="1140"/>
      <c r="G363" s="1131"/>
      <c r="H363" s="691">
        <v>24793944</v>
      </c>
      <c r="I363" s="691">
        <v>6304246</v>
      </c>
      <c r="J363" s="1128"/>
      <c r="K363" s="1128"/>
      <c r="L363" s="1129"/>
      <c r="M363" s="1129"/>
      <c r="N363" s="1128"/>
      <c r="O363" s="1128"/>
      <c r="P363" s="1129"/>
      <c r="Q363" s="1129"/>
      <c r="R363" s="1128"/>
      <c r="S363" s="1129"/>
      <c r="T363" s="1129"/>
      <c r="U363" s="1128"/>
      <c r="V363" s="1129"/>
      <c r="W363" s="1129"/>
    </row>
    <row r="364" spans="1:23" s="692" customFormat="1" ht="15" hidden="1" customHeight="1">
      <c r="A364" s="1124"/>
      <c r="B364" s="1131"/>
      <c r="C364" s="1126"/>
      <c r="D364" s="1137"/>
      <c r="E364" s="1124"/>
      <c r="F364" s="1140"/>
      <c r="G364" s="1131"/>
      <c r="H364" s="691">
        <v>1458468</v>
      </c>
      <c r="I364" s="691">
        <v>370609</v>
      </c>
      <c r="J364" s="693">
        <f>K364+N364</f>
        <v>0</v>
      </c>
      <c r="K364" s="693">
        <f>L364+M364</f>
        <v>0</v>
      </c>
      <c r="L364" s="694">
        <v>0</v>
      </c>
      <c r="M364" s="694">
        <v>0</v>
      </c>
      <c r="N364" s="693">
        <f>O364+R364+U364</f>
        <v>0</v>
      </c>
      <c r="O364" s="693">
        <f>P364+Q364</f>
        <v>0</v>
      </c>
      <c r="P364" s="694">
        <v>0</v>
      </c>
      <c r="Q364" s="694">
        <v>0</v>
      </c>
      <c r="R364" s="693">
        <f>S364+T364</f>
        <v>0</v>
      </c>
      <c r="S364" s="694">
        <v>0</v>
      </c>
      <c r="T364" s="694">
        <v>0</v>
      </c>
      <c r="U364" s="693">
        <f>V364+W364</f>
        <v>0</v>
      </c>
      <c r="V364" s="694">
        <v>0</v>
      </c>
      <c r="W364" s="694">
        <v>0</v>
      </c>
    </row>
    <row r="365" spans="1:23" s="692" customFormat="1" ht="15" hidden="1" customHeight="1">
      <c r="A365" s="1124"/>
      <c r="B365" s="1131"/>
      <c r="C365" s="1126"/>
      <c r="D365" s="1137"/>
      <c r="E365" s="1124"/>
      <c r="F365" s="1140"/>
      <c r="G365" s="1131"/>
      <c r="H365" s="691">
        <v>391935</v>
      </c>
      <c r="I365" s="691">
        <v>183165</v>
      </c>
      <c r="J365" s="1128">
        <f t="shared" ref="J365:W365" si="69">J362+J364</f>
        <v>275181</v>
      </c>
      <c r="K365" s="1128">
        <f t="shared" si="69"/>
        <v>127019</v>
      </c>
      <c r="L365" s="1129">
        <f t="shared" si="69"/>
        <v>127019</v>
      </c>
      <c r="M365" s="1129">
        <f t="shared" si="69"/>
        <v>0</v>
      </c>
      <c r="N365" s="1128">
        <f t="shared" si="69"/>
        <v>148162</v>
      </c>
      <c r="O365" s="1128">
        <f t="shared" si="69"/>
        <v>10572</v>
      </c>
      <c r="P365" s="1129">
        <f t="shared" si="69"/>
        <v>10572</v>
      </c>
      <c r="Q365" s="1129">
        <f t="shared" si="69"/>
        <v>0</v>
      </c>
      <c r="R365" s="1128">
        <f t="shared" si="69"/>
        <v>137590</v>
      </c>
      <c r="S365" s="1129">
        <f t="shared" si="69"/>
        <v>137590</v>
      </c>
      <c r="T365" s="1129">
        <f t="shared" si="69"/>
        <v>0</v>
      </c>
      <c r="U365" s="1128">
        <f t="shared" si="69"/>
        <v>0</v>
      </c>
      <c r="V365" s="1129">
        <f t="shared" si="69"/>
        <v>0</v>
      </c>
      <c r="W365" s="1129">
        <f t="shared" si="69"/>
        <v>0</v>
      </c>
    </row>
    <row r="366" spans="1:23" s="692" customFormat="1" ht="15" hidden="1" customHeight="1">
      <c r="A366" s="1124"/>
      <c r="B366" s="1132"/>
      <c r="C366" s="1126"/>
      <c r="D366" s="1138"/>
      <c r="E366" s="1124"/>
      <c r="F366" s="1141"/>
      <c r="G366" s="1132"/>
      <c r="H366" s="691">
        <v>0</v>
      </c>
      <c r="I366" s="691">
        <v>0</v>
      </c>
      <c r="J366" s="1128"/>
      <c r="K366" s="1128"/>
      <c r="L366" s="1129"/>
      <c r="M366" s="1129"/>
      <c r="N366" s="1128"/>
      <c r="O366" s="1128"/>
      <c r="P366" s="1129"/>
      <c r="Q366" s="1129"/>
      <c r="R366" s="1128"/>
      <c r="S366" s="1129"/>
      <c r="T366" s="1129"/>
      <c r="U366" s="1128"/>
      <c r="V366" s="1129"/>
      <c r="W366" s="1129"/>
    </row>
    <row r="367" spans="1:23" s="698" customFormat="1" ht="15" customHeight="1">
      <c r="A367" s="1116" t="s">
        <v>894</v>
      </c>
      <c r="B367" s="1116"/>
      <c r="C367" s="1116"/>
      <c r="D367" s="1116"/>
      <c r="E367" s="1116"/>
      <c r="F367" s="1116"/>
      <c r="G367" s="1116"/>
      <c r="H367" s="697">
        <f>H17+H22+H27+H32+H42+H47+H52+H57+H67+H87+H92+H97+H102+H107+H112+H122+H142+H147+H152+H157+H162+H177+H182+H187+H192+H202+H197+H207+H212+H217+H227+H232+H237+H242+H247+H252+H257+H267+H282+H287+H307+H317+H262+H322+H327+H332+H337+H347+H352+H357+H362+H62+H132+H272+H117+H297+H302+H342+H292+H277+H172+H167+H127+H82+H77+H72+H312+H222+H137+H37</f>
        <v>1305731508</v>
      </c>
      <c r="I367" s="697">
        <f>I17+I22+I27+I32+I42+I47+I52+I57+I67+I87+I92+I97+I102+I107+I112+I122+I142+I147+I152+I157+I162+I177+I182+I187+I192+I202+I197+I207+I212+I217+I227+I232+I237+I242+I247+I252+I257+I267+I282+I287+I307+I317+I262+I322+I327+I332+I337+I347+I352+I357+I362+I62+I132+I272+I117+I297+I302+I342+I292+I277+I172+I167+I127+I82+I77+I72+I312+I222+I137+I37</f>
        <v>250216011</v>
      </c>
      <c r="J367" s="1145">
        <f>J17+J22+J27+J32+J42+J47+J52+J57+J62+J67+J87+J92+J97+J102+J107+J112+J122+J132+J142+J147+J152+J157+J162+J177+J182+J187+J192+J197+J202+J207+J212+J217+J227+J232+J237+J242+J247+J252+J257+J262+J267+J272+J282+J287+J307+J317+J322+J327+J332+J337+J347+J352+J357+J362+J117+J297+J302+J342+J292+J277+J172+J167+J127+J82+J77+J72+J137+J222+J312+J37</f>
        <v>414139196</v>
      </c>
      <c r="K367" s="1145">
        <f t="shared" ref="K367:W367" si="70">K17+K22+K27+K32+K42+K47+K52+K57+K62+K67+K87+K92+K97+K102+K107+K112+K122+K132+K142+K147+K152+K157+K162+K177+K182+K187+K192+K197+K202+K207+K212+K217+K227+K232+K237+K242+K247+K252+K257+K262+K267+K272+K282+K287+K307+K317+K322+K327+K332+K337+K347+K352+K357+K362+K117+K297+K302+K342+K292+K277+K172+K167+K127+K82+K77+K72+K137+K222+K312+K37</f>
        <v>356540816</v>
      </c>
      <c r="L367" s="1145">
        <f t="shared" si="70"/>
        <v>150597933</v>
      </c>
      <c r="M367" s="1145">
        <f t="shared" si="70"/>
        <v>205942883</v>
      </c>
      <c r="N367" s="1145">
        <f t="shared" si="70"/>
        <v>57598380</v>
      </c>
      <c r="O367" s="1145">
        <f t="shared" si="70"/>
        <v>22934441</v>
      </c>
      <c r="P367" s="1145">
        <f t="shared" si="70"/>
        <v>15423313</v>
      </c>
      <c r="Q367" s="1145">
        <f t="shared" si="70"/>
        <v>7511128</v>
      </c>
      <c r="R367" s="1145">
        <f t="shared" si="70"/>
        <v>30367809</v>
      </c>
      <c r="S367" s="1145">
        <f t="shared" si="70"/>
        <v>3287726</v>
      </c>
      <c r="T367" s="1145">
        <f t="shared" si="70"/>
        <v>27080083</v>
      </c>
      <c r="U367" s="1145">
        <f t="shared" si="70"/>
        <v>4296130</v>
      </c>
      <c r="V367" s="1145">
        <f t="shared" si="70"/>
        <v>502351</v>
      </c>
      <c r="W367" s="1145">
        <f t="shared" si="70"/>
        <v>3793779</v>
      </c>
    </row>
    <row r="368" spans="1:23" s="698" customFormat="1" ht="15" customHeight="1">
      <c r="A368" s="1116"/>
      <c r="B368" s="1116"/>
      <c r="C368" s="1116"/>
      <c r="D368" s="1116"/>
      <c r="E368" s="1116"/>
      <c r="F368" s="1116"/>
      <c r="G368" s="1116"/>
      <c r="H368" s="697">
        <f t="shared" ref="H368:I371" si="71">H18+H23+H28+H33+H43+H48+H53+H58+H68+H88+H93+H98+H103+H108+H113+H123+H143+H148+H153+H158+H163+H178+H183+H188+H193+H203+H198+H208+H213+H218+H228+H233+H238+H243+H248+H253+H258+H268+H283+H288+H308+H318+H263+H323+H328+H333+H338+H348+H353+H358+H363+H63+H133+H273+H118+H298+H303+H343+H293+H278+H173+H168+H128+H83+H78+H73+H313+H223+H138+H38</f>
        <v>1082470750</v>
      </c>
      <c r="I368" s="697">
        <f t="shared" si="71"/>
        <v>200086995</v>
      </c>
      <c r="J368" s="1145"/>
      <c r="K368" s="1145"/>
      <c r="L368" s="1145"/>
      <c r="M368" s="1145"/>
      <c r="N368" s="1145"/>
      <c r="O368" s="1145"/>
      <c r="P368" s="1145"/>
      <c r="Q368" s="1145"/>
      <c r="R368" s="1145"/>
      <c r="S368" s="1145"/>
      <c r="T368" s="1145"/>
      <c r="U368" s="1145"/>
      <c r="V368" s="1145"/>
      <c r="W368" s="1145"/>
    </row>
    <row r="369" spans="1:24" s="698" customFormat="1" ht="15" customHeight="1">
      <c r="A369" s="1116"/>
      <c r="B369" s="1116"/>
      <c r="C369" s="1116"/>
      <c r="D369" s="1116"/>
      <c r="E369" s="1116"/>
      <c r="F369" s="1116"/>
      <c r="G369" s="1116"/>
      <c r="H369" s="697">
        <f t="shared" si="71"/>
        <v>45145604</v>
      </c>
      <c r="I369" s="697">
        <f t="shared" si="71"/>
        <v>7165173</v>
      </c>
      <c r="J369" s="699">
        <f>J19+J24+J29+J34+J44+J49+J54+J59+J64+J69+J89+J94+J99+J104+J109+J114+J124+J134+J144+J149+J154+J159+J164+J179+J184+J189+J194+J199+J204+J209+J214+J219+J229+J234+J239+J244+J249+J254+J259+J264+J269+J274+J284+J289+J309+J319+J324+J329+J334+J339+J349+J354+J359+J364+J119+J299+J304+J344+J294+J279+J174+J169+J129+J84+J79+J74+J314+J224+J139+J39</f>
        <v>-98987110</v>
      </c>
      <c r="K369" s="699">
        <f t="shared" ref="K369:W369" si="72">K19+K24+K29+K34+K44+K49+K54+K59+K64+K69+K89+K94+K99+K104+K109+K114+K124+K134+K144+K149+K154+K159+K164+K179+K184+K189+K194+K199+K204+K209+K214+K219+K229+K234+K239+K244+K249+K254+K259+K264+K269+K274+K284+K289+K309+K319+K324+K329+K334+K339+K349+K354+K359+K364+K119+K299+K304+K344+K294+K279+K174+K169+K129+K84+K79+K74+K314+K224+K139+K39</f>
        <v>-89805012</v>
      </c>
      <c r="L369" s="699">
        <f t="shared" si="72"/>
        <v>-24708662</v>
      </c>
      <c r="M369" s="699">
        <f t="shared" si="72"/>
        <v>-65096350</v>
      </c>
      <c r="N369" s="699">
        <f t="shared" si="72"/>
        <v>-9182098</v>
      </c>
      <c r="O369" s="699">
        <f t="shared" si="72"/>
        <v>-9106416</v>
      </c>
      <c r="P369" s="699">
        <f t="shared" si="72"/>
        <v>-3510744</v>
      </c>
      <c r="Q369" s="699">
        <f t="shared" si="72"/>
        <v>-5595672</v>
      </c>
      <c r="R369" s="699">
        <f t="shared" si="72"/>
        <v>-75682</v>
      </c>
      <c r="S369" s="699">
        <f t="shared" si="72"/>
        <v>-75682</v>
      </c>
      <c r="T369" s="699">
        <f t="shared" si="72"/>
        <v>0</v>
      </c>
      <c r="U369" s="699">
        <f t="shared" si="72"/>
        <v>0</v>
      </c>
      <c r="V369" s="699">
        <f t="shared" si="72"/>
        <v>0</v>
      </c>
      <c r="W369" s="699">
        <f t="shared" si="72"/>
        <v>0</v>
      </c>
    </row>
    <row r="370" spans="1:24" s="698" customFormat="1" ht="15" customHeight="1">
      <c r="A370" s="1116"/>
      <c r="B370" s="1116"/>
      <c r="C370" s="1116"/>
      <c r="D370" s="1116"/>
      <c r="E370" s="1116"/>
      <c r="F370" s="1116"/>
      <c r="G370" s="1116"/>
      <c r="H370" s="697">
        <f t="shared" si="71"/>
        <v>157173195</v>
      </c>
      <c r="I370" s="697">
        <f t="shared" si="71"/>
        <v>41564434</v>
      </c>
      <c r="J370" s="1145">
        <f>J367+J369</f>
        <v>315152086</v>
      </c>
      <c r="K370" s="1145">
        <f t="shared" ref="K370:W370" si="73">K367+K369</f>
        <v>266735804</v>
      </c>
      <c r="L370" s="1145">
        <f t="shared" si="73"/>
        <v>125889271</v>
      </c>
      <c r="M370" s="1145">
        <f t="shared" si="73"/>
        <v>140846533</v>
      </c>
      <c r="N370" s="1145">
        <f t="shared" si="73"/>
        <v>48416282</v>
      </c>
      <c r="O370" s="1145">
        <f t="shared" si="73"/>
        <v>13828025</v>
      </c>
      <c r="P370" s="1145">
        <f t="shared" si="73"/>
        <v>11912569</v>
      </c>
      <c r="Q370" s="1145">
        <f t="shared" si="73"/>
        <v>1915456</v>
      </c>
      <c r="R370" s="1145">
        <f t="shared" si="73"/>
        <v>30292127</v>
      </c>
      <c r="S370" s="1145">
        <f t="shared" si="73"/>
        <v>3212044</v>
      </c>
      <c r="T370" s="1145">
        <f t="shared" si="73"/>
        <v>27080083</v>
      </c>
      <c r="U370" s="1145">
        <f t="shared" si="73"/>
        <v>4296130</v>
      </c>
      <c r="V370" s="1145">
        <f t="shared" si="73"/>
        <v>502351</v>
      </c>
      <c r="W370" s="1145">
        <f t="shared" si="73"/>
        <v>3793779</v>
      </c>
    </row>
    <row r="371" spans="1:24" s="698" customFormat="1" ht="15" customHeight="1">
      <c r="A371" s="1116"/>
      <c r="B371" s="1116"/>
      <c r="C371" s="1116"/>
      <c r="D371" s="1116"/>
      <c r="E371" s="1116"/>
      <c r="F371" s="1116"/>
      <c r="G371" s="1116"/>
      <c r="H371" s="697">
        <f t="shared" si="71"/>
        <v>20941959</v>
      </c>
      <c r="I371" s="697">
        <f t="shared" si="71"/>
        <v>1399409</v>
      </c>
      <c r="J371" s="1145"/>
      <c r="K371" s="1145"/>
      <c r="L371" s="1145"/>
      <c r="M371" s="1145"/>
      <c r="N371" s="1145"/>
      <c r="O371" s="1145"/>
      <c r="P371" s="1145"/>
      <c r="Q371" s="1145"/>
      <c r="R371" s="1145"/>
      <c r="S371" s="1145"/>
      <c r="T371" s="1145"/>
      <c r="U371" s="1145"/>
      <c r="V371" s="1145"/>
      <c r="W371" s="1145"/>
    </row>
    <row r="372" spans="1:24" ht="4.5" customHeight="1">
      <c r="A372" s="700"/>
      <c r="B372" s="701"/>
      <c r="C372" s="701"/>
      <c r="D372" s="701"/>
      <c r="E372" s="701"/>
      <c r="F372" s="701"/>
      <c r="G372" s="701"/>
      <c r="H372" s="701"/>
      <c r="I372" s="701"/>
      <c r="J372" s="701"/>
      <c r="K372" s="701"/>
      <c r="L372" s="701"/>
      <c r="M372" s="701"/>
      <c r="N372" s="701"/>
      <c r="O372" s="701"/>
      <c r="P372" s="701"/>
      <c r="Q372" s="701"/>
      <c r="R372" s="701"/>
      <c r="S372" s="701"/>
      <c r="T372" s="701"/>
      <c r="U372" s="701"/>
      <c r="V372" s="701"/>
      <c r="W372" s="702"/>
    </row>
    <row r="373" spans="1:24" s="688" customFormat="1" ht="17.25" hidden="1" customHeight="1">
      <c r="A373" s="1146" t="s">
        <v>895</v>
      </c>
      <c r="B373" s="1147"/>
      <c r="C373" s="1147"/>
      <c r="D373" s="1147"/>
      <c r="E373" s="1147"/>
      <c r="F373" s="1147"/>
      <c r="G373" s="1147"/>
      <c r="H373" s="1147"/>
      <c r="I373" s="1147"/>
      <c r="J373" s="1147"/>
      <c r="K373" s="1147"/>
      <c r="L373" s="1147"/>
      <c r="M373" s="1147"/>
      <c r="N373" s="1147"/>
      <c r="O373" s="1147"/>
      <c r="P373" s="1147"/>
      <c r="Q373" s="1147"/>
      <c r="R373" s="1147"/>
      <c r="S373" s="1147"/>
      <c r="T373" s="1147"/>
      <c r="U373" s="1147"/>
      <c r="V373" s="1147"/>
      <c r="W373" s="1148"/>
      <c r="X373" s="689"/>
    </row>
    <row r="374" spans="1:24" ht="3.75" hidden="1" customHeight="1">
      <c r="A374" s="1149"/>
      <c r="B374" s="1149"/>
      <c r="C374" s="1149"/>
      <c r="D374" s="1149"/>
      <c r="E374" s="1149"/>
      <c r="F374" s="1149"/>
      <c r="G374" s="1149"/>
      <c r="H374" s="1149"/>
      <c r="I374" s="1149"/>
      <c r="J374" s="1149"/>
      <c r="K374" s="1149"/>
      <c r="L374" s="1149"/>
      <c r="M374" s="1149"/>
      <c r="N374" s="1149"/>
      <c r="O374" s="1149"/>
      <c r="P374" s="1149"/>
      <c r="Q374" s="1149"/>
      <c r="R374" s="1149"/>
      <c r="S374" s="1149"/>
      <c r="T374" s="1149"/>
      <c r="U374" s="1149"/>
      <c r="V374" s="1149"/>
      <c r="W374" s="1149"/>
    </row>
    <row r="375" spans="1:24" ht="14.25" hidden="1" customHeight="1">
      <c r="A375" s="1125">
        <v>1</v>
      </c>
      <c r="B375" s="1143" t="s">
        <v>896</v>
      </c>
      <c r="C375" s="1125" t="s">
        <v>897</v>
      </c>
      <c r="D375" s="1144" t="s">
        <v>898</v>
      </c>
      <c r="E375" s="1124" t="s">
        <v>733</v>
      </c>
      <c r="F375" s="1124" t="s">
        <v>899</v>
      </c>
      <c r="G375" s="1124" t="s">
        <v>750</v>
      </c>
      <c r="H375" s="691">
        <f>H376+H378+H377+H379</f>
        <v>207342489</v>
      </c>
      <c r="I375" s="691">
        <f>I376+I378+I377+I379</f>
        <v>68759438</v>
      </c>
      <c r="J375" s="1128">
        <f>K375+N375</f>
        <v>38890319</v>
      </c>
      <c r="K375" s="1128">
        <f>L375+M375</f>
        <v>33056771</v>
      </c>
      <c r="L375" s="1129">
        <v>33022771</v>
      </c>
      <c r="M375" s="1129">
        <v>34000</v>
      </c>
      <c r="N375" s="1128">
        <f>O375+R375+U375</f>
        <v>5833548</v>
      </c>
      <c r="O375" s="1128">
        <f>P375+Q375</f>
        <v>0</v>
      </c>
      <c r="P375" s="1129">
        <v>0</v>
      </c>
      <c r="Q375" s="1129">
        <v>0</v>
      </c>
      <c r="R375" s="1128">
        <f>S375+T375</f>
        <v>5833548</v>
      </c>
      <c r="S375" s="1129">
        <v>5827548</v>
      </c>
      <c r="T375" s="1129">
        <v>6000</v>
      </c>
      <c r="U375" s="1128">
        <f>V375+W375</f>
        <v>0</v>
      </c>
      <c r="V375" s="1129">
        <v>0</v>
      </c>
      <c r="W375" s="1129">
        <v>0</v>
      </c>
    </row>
    <row r="376" spans="1:24" ht="14.25" hidden="1" customHeight="1">
      <c r="A376" s="1125"/>
      <c r="B376" s="1143"/>
      <c r="C376" s="1125"/>
      <c r="D376" s="1144"/>
      <c r="E376" s="1124"/>
      <c r="F376" s="1124"/>
      <c r="G376" s="1124"/>
      <c r="H376" s="691">
        <v>176241115</v>
      </c>
      <c r="I376" s="691">
        <v>58445522</v>
      </c>
      <c r="J376" s="1128"/>
      <c r="K376" s="1128"/>
      <c r="L376" s="1129"/>
      <c r="M376" s="1129"/>
      <c r="N376" s="1128"/>
      <c r="O376" s="1128"/>
      <c r="P376" s="1129"/>
      <c r="Q376" s="1129"/>
      <c r="R376" s="1128"/>
      <c r="S376" s="1129"/>
      <c r="T376" s="1129"/>
      <c r="U376" s="1128"/>
      <c r="V376" s="1129"/>
      <c r="W376" s="1129"/>
    </row>
    <row r="377" spans="1:24" ht="14.25" hidden="1" customHeight="1">
      <c r="A377" s="1125"/>
      <c r="B377" s="1143"/>
      <c r="C377" s="1125"/>
      <c r="D377" s="1144"/>
      <c r="E377" s="1124"/>
      <c r="F377" s="1124"/>
      <c r="G377" s="1124"/>
      <c r="H377" s="691">
        <v>0</v>
      </c>
      <c r="I377" s="691">
        <v>0</v>
      </c>
      <c r="J377" s="693">
        <f>K377+N377</f>
        <v>0</v>
      </c>
      <c r="K377" s="693">
        <f>L377+M377</f>
        <v>0</v>
      </c>
      <c r="L377" s="694">
        <v>0</v>
      </c>
      <c r="M377" s="694">
        <v>0</v>
      </c>
      <c r="N377" s="693">
        <f>O377+R377+U377</f>
        <v>0</v>
      </c>
      <c r="O377" s="693">
        <f>P377+Q377</f>
        <v>0</v>
      </c>
      <c r="P377" s="694">
        <v>0</v>
      </c>
      <c r="Q377" s="694">
        <v>0</v>
      </c>
      <c r="R377" s="693">
        <f>S377+T377</f>
        <v>0</v>
      </c>
      <c r="S377" s="694">
        <v>0</v>
      </c>
      <c r="T377" s="694">
        <v>0</v>
      </c>
      <c r="U377" s="693">
        <f>V377+W377</f>
        <v>0</v>
      </c>
      <c r="V377" s="694">
        <v>0</v>
      </c>
      <c r="W377" s="694">
        <v>0</v>
      </c>
    </row>
    <row r="378" spans="1:24" ht="14.25" hidden="1" customHeight="1">
      <c r="A378" s="1125"/>
      <c r="B378" s="1143"/>
      <c r="C378" s="1125"/>
      <c r="D378" s="1144"/>
      <c r="E378" s="1124"/>
      <c r="F378" s="1124"/>
      <c r="G378" s="1124"/>
      <c r="H378" s="691">
        <v>31101374</v>
      </c>
      <c r="I378" s="691">
        <v>10313916</v>
      </c>
      <c r="J378" s="1128">
        <f t="shared" ref="J378:W378" si="74">J375+J377</f>
        <v>38890319</v>
      </c>
      <c r="K378" s="1128">
        <f t="shared" si="74"/>
        <v>33056771</v>
      </c>
      <c r="L378" s="1129">
        <f t="shared" si="74"/>
        <v>33022771</v>
      </c>
      <c r="M378" s="1129">
        <f t="shared" si="74"/>
        <v>34000</v>
      </c>
      <c r="N378" s="1128">
        <f t="shared" si="74"/>
        <v>5833548</v>
      </c>
      <c r="O378" s="1128">
        <f t="shared" si="74"/>
        <v>0</v>
      </c>
      <c r="P378" s="1129">
        <f t="shared" si="74"/>
        <v>0</v>
      </c>
      <c r="Q378" s="1129">
        <f t="shared" si="74"/>
        <v>0</v>
      </c>
      <c r="R378" s="1128">
        <f t="shared" si="74"/>
        <v>5833548</v>
      </c>
      <c r="S378" s="1129">
        <f t="shared" si="74"/>
        <v>5827548</v>
      </c>
      <c r="T378" s="1129">
        <f t="shared" si="74"/>
        <v>6000</v>
      </c>
      <c r="U378" s="1128">
        <f t="shared" si="74"/>
        <v>0</v>
      </c>
      <c r="V378" s="1129">
        <f t="shared" si="74"/>
        <v>0</v>
      </c>
      <c r="W378" s="1129">
        <f t="shared" si="74"/>
        <v>0</v>
      </c>
    </row>
    <row r="379" spans="1:24" ht="14.25" hidden="1" customHeight="1">
      <c r="A379" s="1125"/>
      <c r="B379" s="1143"/>
      <c r="C379" s="1125"/>
      <c r="D379" s="1144"/>
      <c r="E379" s="1124"/>
      <c r="F379" s="1124"/>
      <c r="G379" s="1124"/>
      <c r="H379" s="691">
        <v>0</v>
      </c>
      <c r="I379" s="691">
        <v>0</v>
      </c>
      <c r="J379" s="1128"/>
      <c r="K379" s="1128"/>
      <c r="L379" s="1129"/>
      <c r="M379" s="1129"/>
      <c r="N379" s="1128"/>
      <c r="O379" s="1128"/>
      <c r="P379" s="1129"/>
      <c r="Q379" s="1129"/>
      <c r="R379" s="1128"/>
      <c r="S379" s="1129"/>
      <c r="T379" s="1129"/>
      <c r="U379" s="1128"/>
      <c r="V379" s="1129"/>
      <c r="W379" s="1129"/>
    </row>
    <row r="380" spans="1:24" ht="14.25" hidden="1" customHeight="1">
      <c r="A380" s="1125">
        <v>2</v>
      </c>
      <c r="B380" s="1143" t="s">
        <v>896</v>
      </c>
      <c r="C380" s="1125" t="s">
        <v>897</v>
      </c>
      <c r="D380" s="1144" t="s">
        <v>898</v>
      </c>
      <c r="E380" s="1139" t="s">
        <v>849</v>
      </c>
      <c r="F380" s="1139" t="s">
        <v>850</v>
      </c>
      <c r="G380" s="1124" t="s">
        <v>750</v>
      </c>
      <c r="H380" s="691">
        <f>H381+H383+H382+H384</f>
        <v>9518000</v>
      </c>
      <c r="I380" s="691">
        <f>I381+I383+I382+I384</f>
        <v>3633983</v>
      </c>
      <c r="J380" s="1128">
        <f>K380+N380</f>
        <v>1972935</v>
      </c>
      <c r="K380" s="1128">
        <f>L380+M380</f>
        <v>1676995</v>
      </c>
      <c r="L380" s="1129">
        <v>1676995</v>
      </c>
      <c r="M380" s="1129">
        <v>0</v>
      </c>
      <c r="N380" s="1128">
        <f>O380+R380+U380</f>
        <v>295940</v>
      </c>
      <c r="O380" s="1128">
        <f>P380+Q380</f>
        <v>0</v>
      </c>
      <c r="P380" s="1129">
        <v>0</v>
      </c>
      <c r="Q380" s="1129">
        <v>0</v>
      </c>
      <c r="R380" s="1128">
        <f>S380+T380</f>
        <v>295940</v>
      </c>
      <c r="S380" s="1129">
        <v>295940</v>
      </c>
      <c r="T380" s="1129">
        <v>0</v>
      </c>
      <c r="U380" s="1128">
        <f>V380+W380</f>
        <v>0</v>
      </c>
      <c r="V380" s="1129">
        <v>0</v>
      </c>
      <c r="W380" s="1129">
        <v>0</v>
      </c>
    </row>
    <row r="381" spans="1:24" ht="14.25" hidden="1" customHeight="1">
      <c r="A381" s="1125"/>
      <c r="B381" s="1143"/>
      <c r="C381" s="1125"/>
      <c r="D381" s="1144"/>
      <c r="E381" s="1140"/>
      <c r="F381" s="1140"/>
      <c r="G381" s="1124"/>
      <c r="H381" s="691">
        <v>8090302</v>
      </c>
      <c r="I381" s="691">
        <v>3088885</v>
      </c>
      <c r="J381" s="1128"/>
      <c r="K381" s="1128"/>
      <c r="L381" s="1129"/>
      <c r="M381" s="1129"/>
      <c r="N381" s="1128"/>
      <c r="O381" s="1128"/>
      <c r="P381" s="1129"/>
      <c r="Q381" s="1129"/>
      <c r="R381" s="1128"/>
      <c r="S381" s="1129"/>
      <c r="T381" s="1129"/>
      <c r="U381" s="1128"/>
      <c r="V381" s="1129"/>
      <c r="W381" s="1129"/>
    </row>
    <row r="382" spans="1:24" ht="14.25" hidden="1" customHeight="1">
      <c r="A382" s="1125"/>
      <c r="B382" s="1143"/>
      <c r="C382" s="1125"/>
      <c r="D382" s="1144"/>
      <c r="E382" s="1140"/>
      <c r="F382" s="1140"/>
      <c r="G382" s="1124"/>
      <c r="H382" s="691">
        <v>0</v>
      </c>
      <c r="I382" s="691">
        <v>0</v>
      </c>
      <c r="J382" s="693">
        <f>K382+N382</f>
        <v>0</v>
      </c>
      <c r="K382" s="693">
        <f>L382+M382</f>
        <v>0</v>
      </c>
      <c r="L382" s="694">
        <v>0</v>
      </c>
      <c r="M382" s="694">
        <v>0</v>
      </c>
      <c r="N382" s="693">
        <f>O382+R382+U382</f>
        <v>0</v>
      </c>
      <c r="O382" s="693">
        <f>P382+Q382</f>
        <v>0</v>
      </c>
      <c r="P382" s="694">
        <v>0</v>
      </c>
      <c r="Q382" s="694">
        <v>0</v>
      </c>
      <c r="R382" s="693">
        <f>S382+T382</f>
        <v>0</v>
      </c>
      <c r="S382" s="694">
        <v>0</v>
      </c>
      <c r="T382" s="694">
        <v>0</v>
      </c>
      <c r="U382" s="693">
        <f>V382+W382</f>
        <v>0</v>
      </c>
      <c r="V382" s="694">
        <v>0</v>
      </c>
      <c r="W382" s="694">
        <v>0</v>
      </c>
    </row>
    <row r="383" spans="1:24" ht="14.25" hidden="1" customHeight="1">
      <c r="A383" s="1125"/>
      <c r="B383" s="1143"/>
      <c r="C383" s="1125"/>
      <c r="D383" s="1144"/>
      <c r="E383" s="1140"/>
      <c r="F383" s="1140"/>
      <c r="G383" s="1124"/>
      <c r="H383" s="691">
        <v>1427698</v>
      </c>
      <c r="I383" s="691">
        <v>545098</v>
      </c>
      <c r="J383" s="1128">
        <f t="shared" ref="J383:W383" si="75">J380+J382</f>
        <v>1972935</v>
      </c>
      <c r="K383" s="1128">
        <f t="shared" si="75"/>
        <v>1676995</v>
      </c>
      <c r="L383" s="1129">
        <f t="shared" si="75"/>
        <v>1676995</v>
      </c>
      <c r="M383" s="1129">
        <f t="shared" si="75"/>
        <v>0</v>
      </c>
      <c r="N383" s="1128">
        <f t="shared" si="75"/>
        <v>295940</v>
      </c>
      <c r="O383" s="1128">
        <f t="shared" si="75"/>
        <v>0</v>
      </c>
      <c r="P383" s="1129">
        <f t="shared" si="75"/>
        <v>0</v>
      </c>
      <c r="Q383" s="1129">
        <f t="shared" si="75"/>
        <v>0</v>
      </c>
      <c r="R383" s="1128">
        <f t="shared" si="75"/>
        <v>295940</v>
      </c>
      <c r="S383" s="1129">
        <f t="shared" si="75"/>
        <v>295940</v>
      </c>
      <c r="T383" s="1129">
        <f t="shared" si="75"/>
        <v>0</v>
      </c>
      <c r="U383" s="1128">
        <f t="shared" si="75"/>
        <v>0</v>
      </c>
      <c r="V383" s="1129">
        <f t="shared" si="75"/>
        <v>0</v>
      </c>
      <c r="W383" s="1129">
        <f t="shared" si="75"/>
        <v>0</v>
      </c>
    </row>
    <row r="384" spans="1:24" ht="14.25" hidden="1" customHeight="1">
      <c r="A384" s="1125"/>
      <c r="B384" s="1143"/>
      <c r="C384" s="1125"/>
      <c r="D384" s="1144"/>
      <c r="E384" s="1141"/>
      <c r="F384" s="1141"/>
      <c r="G384" s="1124"/>
      <c r="H384" s="691">
        <v>0</v>
      </c>
      <c r="I384" s="691">
        <v>0</v>
      </c>
      <c r="J384" s="1128"/>
      <c r="K384" s="1128"/>
      <c r="L384" s="1129"/>
      <c r="M384" s="1129"/>
      <c r="N384" s="1128"/>
      <c r="O384" s="1128"/>
      <c r="P384" s="1129"/>
      <c r="Q384" s="1129"/>
      <c r="R384" s="1128"/>
      <c r="S384" s="1129"/>
      <c r="T384" s="1129"/>
      <c r="U384" s="1128"/>
      <c r="V384" s="1129"/>
      <c r="W384" s="1129"/>
    </row>
    <row r="385" spans="1:23" ht="14.25" hidden="1" customHeight="1">
      <c r="A385" s="1125">
        <v>1</v>
      </c>
      <c r="B385" s="1143" t="s">
        <v>896</v>
      </c>
      <c r="C385" s="1125">
        <v>121</v>
      </c>
      <c r="D385" s="1144" t="s">
        <v>900</v>
      </c>
      <c r="E385" s="1124" t="s">
        <v>733</v>
      </c>
      <c r="F385" s="1124" t="s">
        <v>901</v>
      </c>
      <c r="G385" s="1124" t="s">
        <v>851</v>
      </c>
      <c r="H385" s="691">
        <f>H386+H388+H387+H389</f>
        <v>8160804</v>
      </c>
      <c r="I385" s="691">
        <f>I386+I388+I387+I389</f>
        <v>0</v>
      </c>
      <c r="J385" s="1128">
        <f>K385+N385</f>
        <v>0</v>
      </c>
      <c r="K385" s="1128">
        <f>L385+M385</f>
        <v>0</v>
      </c>
      <c r="L385" s="1129">
        <v>0</v>
      </c>
      <c r="M385" s="1129">
        <v>0</v>
      </c>
      <c r="N385" s="1128">
        <f>O385+R385+U385</f>
        <v>0</v>
      </c>
      <c r="O385" s="1128">
        <f>P385+Q385</f>
        <v>0</v>
      </c>
      <c r="P385" s="1129">
        <v>0</v>
      </c>
      <c r="Q385" s="1129">
        <v>0</v>
      </c>
      <c r="R385" s="1128">
        <f>S385+T385</f>
        <v>0</v>
      </c>
      <c r="S385" s="1129">
        <v>0</v>
      </c>
      <c r="T385" s="1129">
        <v>0</v>
      </c>
      <c r="U385" s="1128">
        <f>V385+W385</f>
        <v>0</v>
      </c>
      <c r="V385" s="1129">
        <v>0</v>
      </c>
      <c r="W385" s="1129">
        <v>0</v>
      </c>
    </row>
    <row r="386" spans="1:23" ht="14.25" hidden="1" customHeight="1">
      <c r="A386" s="1125"/>
      <c r="B386" s="1143"/>
      <c r="C386" s="1125"/>
      <c r="D386" s="1144"/>
      <c r="E386" s="1124"/>
      <c r="F386" s="1124"/>
      <c r="G386" s="1124"/>
      <c r="H386" s="691">
        <v>6936683</v>
      </c>
      <c r="I386" s="691">
        <v>0</v>
      </c>
      <c r="J386" s="1128"/>
      <c r="K386" s="1128"/>
      <c r="L386" s="1129"/>
      <c r="M386" s="1129"/>
      <c r="N386" s="1128"/>
      <c r="O386" s="1128"/>
      <c r="P386" s="1129"/>
      <c r="Q386" s="1129"/>
      <c r="R386" s="1128"/>
      <c r="S386" s="1129"/>
      <c r="T386" s="1129"/>
      <c r="U386" s="1128"/>
      <c r="V386" s="1129"/>
      <c r="W386" s="1129"/>
    </row>
    <row r="387" spans="1:23" ht="14.25" hidden="1" customHeight="1">
      <c r="A387" s="1125"/>
      <c r="B387" s="1143"/>
      <c r="C387" s="1125"/>
      <c r="D387" s="1144"/>
      <c r="E387" s="1124"/>
      <c r="F387" s="1124"/>
      <c r="G387" s="1124"/>
      <c r="H387" s="691">
        <v>0</v>
      </c>
      <c r="I387" s="691">
        <v>0</v>
      </c>
      <c r="J387" s="693">
        <f>K387+N387</f>
        <v>0</v>
      </c>
      <c r="K387" s="693">
        <f>L387+M387</f>
        <v>0</v>
      </c>
      <c r="L387" s="694">
        <v>0</v>
      </c>
      <c r="M387" s="694">
        <v>0</v>
      </c>
      <c r="N387" s="693">
        <f>O387+R387+U387</f>
        <v>0</v>
      </c>
      <c r="O387" s="693">
        <f>P387+Q387</f>
        <v>0</v>
      </c>
      <c r="P387" s="694">
        <v>0</v>
      </c>
      <c r="Q387" s="694">
        <v>0</v>
      </c>
      <c r="R387" s="693">
        <f>S387+T387</f>
        <v>0</v>
      </c>
      <c r="S387" s="694">
        <v>0</v>
      </c>
      <c r="T387" s="694">
        <v>0</v>
      </c>
      <c r="U387" s="693">
        <f>V387+W387</f>
        <v>0</v>
      </c>
      <c r="V387" s="694">
        <v>0</v>
      </c>
      <c r="W387" s="694">
        <v>0</v>
      </c>
    </row>
    <row r="388" spans="1:23" ht="14.25" hidden="1" customHeight="1">
      <c r="A388" s="1125"/>
      <c r="B388" s="1143"/>
      <c r="C388" s="1125"/>
      <c r="D388" s="1144"/>
      <c r="E388" s="1124"/>
      <c r="F388" s="1124"/>
      <c r="G388" s="1124"/>
      <c r="H388" s="691">
        <v>1224121</v>
      </c>
      <c r="I388" s="691">
        <v>0</v>
      </c>
      <c r="J388" s="1128">
        <f t="shared" ref="J388:W388" si="76">J385+J387</f>
        <v>0</v>
      </c>
      <c r="K388" s="1128">
        <f t="shared" si="76"/>
        <v>0</v>
      </c>
      <c r="L388" s="1129">
        <f t="shared" si="76"/>
        <v>0</v>
      </c>
      <c r="M388" s="1129">
        <f t="shared" si="76"/>
        <v>0</v>
      </c>
      <c r="N388" s="1128">
        <f t="shared" si="76"/>
        <v>0</v>
      </c>
      <c r="O388" s="1128">
        <f t="shared" si="76"/>
        <v>0</v>
      </c>
      <c r="P388" s="1129">
        <f t="shared" si="76"/>
        <v>0</v>
      </c>
      <c r="Q388" s="1129">
        <f t="shared" si="76"/>
        <v>0</v>
      </c>
      <c r="R388" s="1128">
        <f t="shared" si="76"/>
        <v>0</v>
      </c>
      <c r="S388" s="1129">
        <f t="shared" si="76"/>
        <v>0</v>
      </c>
      <c r="T388" s="1129">
        <f t="shared" si="76"/>
        <v>0</v>
      </c>
      <c r="U388" s="1128">
        <f t="shared" si="76"/>
        <v>0</v>
      </c>
      <c r="V388" s="1129">
        <f t="shared" si="76"/>
        <v>0</v>
      </c>
      <c r="W388" s="1129">
        <f t="shared" si="76"/>
        <v>0</v>
      </c>
    </row>
    <row r="389" spans="1:23" ht="14.25" hidden="1" customHeight="1">
      <c r="A389" s="1125"/>
      <c r="B389" s="1143"/>
      <c r="C389" s="1125"/>
      <c r="D389" s="1144"/>
      <c r="E389" s="1124"/>
      <c r="F389" s="1124"/>
      <c r="G389" s="1124"/>
      <c r="H389" s="691">
        <v>0</v>
      </c>
      <c r="I389" s="691">
        <v>0</v>
      </c>
      <c r="J389" s="1128"/>
      <c r="K389" s="1128"/>
      <c r="L389" s="1129"/>
      <c r="M389" s="1129"/>
      <c r="N389" s="1128"/>
      <c r="O389" s="1128"/>
      <c r="P389" s="1129"/>
      <c r="Q389" s="1129"/>
      <c r="R389" s="1128"/>
      <c r="S389" s="1129"/>
      <c r="T389" s="1129"/>
      <c r="U389" s="1128"/>
      <c r="V389" s="1129"/>
      <c r="W389" s="1129"/>
    </row>
    <row r="390" spans="1:23" ht="14.25" hidden="1" customHeight="1">
      <c r="A390" s="1130">
        <v>3</v>
      </c>
      <c r="B390" s="1150" t="s">
        <v>902</v>
      </c>
      <c r="C390" s="1130">
        <v>123</v>
      </c>
      <c r="D390" s="1153" t="s">
        <v>903</v>
      </c>
      <c r="E390" s="1124" t="s">
        <v>733</v>
      </c>
      <c r="F390" s="1139" t="s">
        <v>899</v>
      </c>
      <c r="G390" s="1139">
        <v>2020</v>
      </c>
      <c r="H390" s="691">
        <f>H391+H393+H392+H394</f>
        <v>2395000</v>
      </c>
      <c r="I390" s="691">
        <f>I391+I393+I392+I394</f>
        <v>0</v>
      </c>
      <c r="J390" s="1128">
        <f>K390+N390</f>
        <v>2395000</v>
      </c>
      <c r="K390" s="1128">
        <f>L390+M390</f>
        <v>2035750</v>
      </c>
      <c r="L390" s="1129">
        <v>2035750</v>
      </c>
      <c r="M390" s="1129">
        <v>0</v>
      </c>
      <c r="N390" s="1128">
        <f>O390+R390+U390</f>
        <v>359250</v>
      </c>
      <c r="O390" s="1128">
        <f>P390+Q390</f>
        <v>0</v>
      </c>
      <c r="P390" s="1129">
        <v>0</v>
      </c>
      <c r="Q390" s="1129">
        <v>0</v>
      </c>
      <c r="R390" s="1128">
        <f>S390+T390</f>
        <v>359250</v>
      </c>
      <c r="S390" s="1129">
        <v>359250</v>
      </c>
      <c r="T390" s="1129">
        <v>0</v>
      </c>
      <c r="U390" s="1128">
        <f>V390+W390</f>
        <v>0</v>
      </c>
      <c r="V390" s="1129">
        <v>0</v>
      </c>
      <c r="W390" s="1129">
        <v>0</v>
      </c>
    </row>
    <row r="391" spans="1:23" ht="14.25" hidden="1" customHeight="1">
      <c r="A391" s="1131"/>
      <c r="B391" s="1151"/>
      <c r="C391" s="1131"/>
      <c r="D391" s="1154"/>
      <c r="E391" s="1124"/>
      <c r="F391" s="1140"/>
      <c r="G391" s="1140"/>
      <c r="H391" s="691">
        <f>K390</f>
        <v>2035750</v>
      </c>
      <c r="I391" s="691">
        <v>0</v>
      </c>
      <c r="J391" s="1128"/>
      <c r="K391" s="1128"/>
      <c r="L391" s="1129"/>
      <c r="M391" s="1129"/>
      <c r="N391" s="1128"/>
      <c r="O391" s="1128"/>
      <c r="P391" s="1129"/>
      <c r="Q391" s="1129"/>
      <c r="R391" s="1128"/>
      <c r="S391" s="1129"/>
      <c r="T391" s="1129"/>
      <c r="U391" s="1128"/>
      <c r="V391" s="1129"/>
      <c r="W391" s="1129"/>
    </row>
    <row r="392" spans="1:23" ht="14.25" hidden="1" customHeight="1">
      <c r="A392" s="1131"/>
      <c r="B392" s="1151"/>
      <c r="C392" s="1131"/>
      <c r="D392" s="1154"/>
      <c r="E392" s="1124"/>
      <c r="F392" s="1140"/>
      <c r="G392" s="1140"/>
      <c r="H392" s="691">
        <v>0</v>
      </c>
      <c r="I392" s="691">
        <v>0</v>
      </c>
      <c r="J392" s="693">
        <f>K392+N392</f>
        <v>0</v>
      </c>
      <c r="K392" s="693">
        <f>L392+M392</f>
        <v>0</v>
      </c>
      <c r="L392" s="694">
        <v>0</v>
      </c>
      <c r="M392" s="694">
        <v>0</v>
      </c>
      <c r="N392" s="693">
        <f>O392+R392+U392</f>
        <v>0</v>
      </c>
      <c r="O392" s="693">
        <f>P392+Q392</f>
        <v>0</v>
      </c>
      <c r="P392" s="694">
        <v>0</v>
      </c>
      <c r="Q392" s="694">
        <v>0</v>
      </c>
      <c r="R392" s="693">
        <f>S392+T392</f>
        <v>0</v>
      </c>
      <c r="S392" s="694">
        <v>0</v>
      </c>
      <c r="T392" s="694">
        <v>0</v>
      </c>
      <c r="U392" s="693">
        <f>V392+W392</f>
        <v>0</v>
      </c>
      <c r="V392" s="694">
        <v>0</v>
      </c>
      <c r="W392" s="694">
        <v>0</v>
      </c>
    </row>
    <row r="393" spans="1:23" ht="14.25" hidden="1" customHeight="1">
      <c r="A393" s="1131"/>
      <c r="B393" s="1151"/>
      <c r="C393" s="1131"/>
      <c r="D393" s="1154"/>
      <c r="E393" s="1124"/>
      <c r="F393" s="1140"/>
      <c r="G393" s="1140"/>
      <c r="H393" s="691">
        <f>R390</f>
        <v>359250</v>
      </c>
      <c r="I393" s="691">
        <v>0</v>
      </c>
      <c r="J393" s="1128">
        <f t="shared" ref="J393:W393" si="77">J390+J392</f>
        <v>2395000</v>
      </c>
      <c r="K393" s="1128">
        <f t="shared" si="77"/>
        <v>2035750</v>
      </c>
      <c r="L393" s="1129">
        <f t="shared" si="77"/>
        <v>2035750</v>
      </c>
      <c r="M393" s="1129">
        <f t="shared" si="77"/>
        <v>0</v>
      </c>
      <c r="N393" s="1128">
        <f t="shared" si="77"/>
        <v>359250</v>
      </c>
      <c r="O393" s="1128">
        <f t="shared" si="77"/>
        <v>0</v>
      </c>
      <c r="P393" s="1129">
        <f t="shared" si="77"/>
        <v>0</v>
      </c>
      <c r="Q393" s="1129">
        <f t="shared" si="77"/>
        <v>0</v>
      </c>
      <c r="R393" s="1128">
        <f t="shared" si="77"/>
        <v>359250</v>
      </c>
      <c r="S393" s="1129">
        <f t="shared" si="77"/>
        <v>359250</v>
      </c>
      <c r="T393" s="1129">
        <f t="shared" si="77"/>
        <v>0</v>
      </c>
      <c r="U393" s="1128">
        <f t="shared" si="77"/>
        <v>0</v>
      </c>
      <c r="V393" s="1129">
        <f t="shared" si="77"/>
        <v>0</v>
      </c>
      <c r="W393" s="1129">
        <f t="shared" si="77"/>
        <v>0</v>
      </c>
    </row>
    <row r="394" spans="1:23" ht="14.25" hidden="1" customHeight="1">
      <c r="A394" s="1132"/>
      <c r="B394" s="1152"/>
      <c r="C394" s="1132"/>
      <c r="D394" s="1155"/>
      <c r="E394" s="1124"/>
      <c r="F394" s="1141"/>
      <c r="G394" s="1141"/>
      <c r="H394" s="691">
        <v>0</v>
      </c>
      <c r="I394" s="691">
        <v>0</v>
      </c>
      <c r="J394" s="1128"/>
      <c r="K394" s="1128"/>
      <c r="L394" s="1129"/>
      <c r="M394" s="1129"/>
      <c r="N394" s="1128"/>
      <c r="O394" s="1128"/>
      <c r="P394" s="1129"/>
      <c r="Q394" s="1129"/>
      <c r="R394" s="1128"/>
      <c r="S394" s="1129"/>
      <c r="T394" s="1129"/>
      <c r="U394" s="1128"/>
      <c r="V394" s="1129"/>
      <c r="W394" s="1129"/>
    </row>
    <row r="395" spans="1:23" ht="14.25" hidden="1" customHeight="1">
      <c r="A395" s="1130">
        <v>4</v>
      </c>
      <c r="B395" s="1150" t="s">
        <v>902</v>
      </c>
      <c r="C395" s="1130">
        <v>123</v>
      </c>
      <c r="D395" s="1153" t="s">
        <v>903</v>
      </c>
      <c r="E395" s="1139" t="s">
        <v>849</v>
      </c>
      <c r="F395" s="1139" t="s">
        <v>850</v>
      </c>
      <c r="G395" s="1139">
        <v>2020</v>
      </c>
      <c r="H395" s="691">
        <f>H396+H398+H397+H399</f>
        <v>20570</v>
      </c>
      <c r="I395" s="691">
        <f>I396+I398+I397+I399</f>
        <v>0</v>
      </c>
      <c r="J395" s="1128">
        <f>K395+N395</f>
        <v>20570</v>
      </c>
      <c r="K395" s="1128">
        <f>L395+M395</f>
        <v>17484</v>
      </c>
      <c r="L395" s="1129">
        <v>17484</v>
      </c>
      <c r="M395" s="1129">
        <v>0</v>
      </c>
      <c r="N395" s="1128">
        <f>O395+R395+U395</f>
        <v>3086</v>
      </c>
      <c r="O395" s="1128">
        <f>P395+Q395</f>
        <v>0</v>
      </c>
      <c r="P395" s="1129">
        <v>0</v>
      </c>
      <c r="Q395" s="1129">
        <v>0</v>
      </c>
      <c r="R395" s="1128">
        <f>S395+T395</f>
        <v>3086</v>
      </c>
      <c r="S395" s="1129">
        <v>3086</v>
      </c>
      <c r="T395" s="1129">
        <v>0</v>
      </c>
      <c r="U395" s="1128">
        <f>V395+W395</f>
        <v>0</v>
      </c>
      <c r="V395" s="1129">
        <v>0</v>
      </c>
      <c r="W395" s="1129">
        <v>0</v>
      </c>
    </row>
    <row r="396" spans="1:23" ht="14.25" hidden="1" customHeight="1">
      <c r="A396" s="1131"/>
      <c r="B396" s="1151"/>
      <c r="C396" s="1131"/>
      <c r="D396" s="1154"/>
      <c r="E396" s="1140"/>
      <c r="F396" s="1140"/>
      <c r="G396" s="1140"/>
      <c r="H396" s="691">
        <v>17484</v>
      </c>
      <c r="I396" s="691">
        <v>0</v>
      </c>
      <c r="J396" s="1128"/>
      <c r="K396" s="1128"/>
      <c r="L396" s="1129"/>
      <c r="M396" s="1129"/>
      <c r="N396" s="1128"/>
      <c r="O396" s="1128"/>
      <c r="P396" s="1129"/>
      <c r="Q396" s="1129"/>
      <c r="R396" s="1128"/>
      <c r="S396" s="1129"/>
      <c r="T396" s="1129"/>
      <c r="U396" s="1128"/>
      <c r="V396" s="1129"/>
      <c r="W396" s="1129"/>
    </row>
    <row r="397" spans="1:23" ht="14.25" hidden="1" customHeight="1">
      <c r="A397" s="1131"/>
      <c r="B397" s="1151"/>
      <c r="C397" s="1131"/>
      <c r="D397" s="1154"/>
      <c r="E397" s="1140"/>
      <c r="F397" s="1140"/>
      <c r="G397" s="1140"/>
      <c r="H397" s="691">
        <v>0</v>
      </c>
      <c r="I397" s="691">
        <v>0</v>
      </c>
      <c r="J397" s="693">
        <f>K397+N397</f>
        <v>0</v>
      </c>
      <c r="K397" s="693">
        <f>L397+M397</f>
        <v>0</v>
      </c>
      <c r="L397" s="694">
        <v>0</v>
      </c>
      <c r="M397" s="694">
        <v>0</v>
      </c>
      <c r="N397" s="693">
        <f>O397+R397+U397</f>
        <v>0</v>
      </c>
      <c r="O397" s="693">
        <f>P397+Q397</f>
        <v>0</v>
      </c>
      <c r="P397" s="694">
        <v>0</v>
      </c>
      <c r="Q397" s="694">
        <v>0</v>
      </c>
      <c r="R397" s="693">
        <f>S397+T397</f>
        <v>0</v>
      </c>
      <c r="S397" s="694">
        <v>0</v>
      </c>
      <c r="T397" s="694">
        <v>0</v>
      </c>
      <c r="U397" s="693">
        <f>V397+W397</f>
        <v>0</v>
      </c>
      <c r="V397" s="694">
        <v>0</v>
      </c>
      <c r="W397" s="694">
        <v>0</v>
      </c>
    </row>
    <row r="398" spans="1:23" ht="14.25" hidden="1" customHeight="1">
      <c r="A398" s="1131"/>
      <c r="B398" s="1151"/>
      <c r="C398" s="1131"/>
      <c r="D398" s="1154"/>
      <c r="E398" s="1140"/>
      <c r="F398" s="1140"/>
      <c r="G398" s="1140"/>
      <c r="H398" s="691">
        <v>3086</v>
      </c>
      <c r="I398" s="691">
        <v>0</v>
      </c>
      <c r="J398" s="1128">
        <f t="shared" ref="J398:W398" si="78">J395+J397</f>
        <v>20570</v>
      </c>
      <c r="K398" s="1128">
        <f t="shared" si="78"/>
        <v>17484</v>
      </c>
      <c r="L398" s="1129">
        <f t="shared" si="78"/>
        <v>17484</v>
      </c>
      <c r="M398" s="1129">
        <f t="shared" si="78"/>
        <v>0</v>
      </c>
      <c r="N398" s="1128">
        <f t="shared" si="78"/>
        <v>3086</v>
      </c>
      <c r="O398" s="1128">
        <f t="shared" si="78"/>
        <v>0</v>
      </c>
      <c r="P398" s="1129">
        <f t="shared" si="78"/>
        <v>0</v>
      </c>
      <c r="Q398" s="1129">
        <f t="shared" si="78"/>
        <v>0</v>
      </c>
      <c r="R398" s="1128">
        <f t="shared" si="78"/>
        <v>3086</v>
      </c>
      <c r="S398" s="1129">
        <f t="shared" si="78"/>
        <v>3086</v>
      </c>
      <c r="T398" s="1129">
        <f t="shared" si="78"/>
        <v>0</v>
      </c>
      <c r="U398" s="1128">
        <f t="shared" si="78"/>
        <v>0</v>
      </c>
      <c r="V398" s="1129">
        <f t="shared" si="78"/>
        <v>0</v>
      </c>
      <c r="W398" s="1129">
        <f t="shared" si="78"/>
        <v>0</v>
      </c>
    </row>
    <row r="399" spans="1:23" ht="14.25" hidden="1" customHeight="1">
      <c r="A399" s="1132"/>
      <c r="B399" s="1152"/>
      <c r="C399" s="1132"/>
      <c r="D399" s="1155"/>
      <c r="E399" s="1141"/>
      <c r="F399" s="1141"/>
      <c r="G399" s="1141"/>
      <c r="H399" s="691">
        <v>0</v>
      </c>
      <c r="I399" s="691">
        <v>0</v>
      </c>
      <c r="J399" s="1128"/>
      <c r="K399" s="1128"/>
      <c r="L399" s="1129"/>
      <c r="M399" s="1129"/>
      <c r="N399" s="1128"/>
      <c r="O399" s="1128"/>
      <c r="P399" s="1129"/>
      <c r="Q399" s="1129"/>
      <c r="R399" s="1128"/>
      <c r="S399" s="1129"/>
      <c r="T399" s="1129"/>
      <c r="U399" s="1128"/>
      <c r="V399" s="1129"/>
      <c r="W399" s="1129"/>
    </row>
    <row r="400" spans="1:23" ht="15" hidden="1" customHeight="1">
      <c r="A400" s="1156" t="s">
        <v>904</v>
      </c>
      <c r="B400" s="1156"/>
      <c r="C400" s="1156"/>
      <c r="D400" s="1156"/>
      <c r="E400" s="1156"/>
      <c r="F400" s="1156"/>
      <c r="G400" s="1156"/>
      <c r="H400" s="704">
        <f t="shared" ref="H400:W400" si="79">H375+H380+H390+H395+H385</f>
        <v>227436863</v>
      </c>
      <c r="I400" s="704">
        <f t="shared" si="79"/>
        <v>72393421</v>
      </c>
      <c r="J400" s="1145">
        <f t="shared" si="79"/>
        <v>43278824</v>
      </c>
      <c r="K400" s="1145">
        <f t="shared" si="79"/>
        <v>36787000</v>
      </c>
      <c r="L400" s="1145">
        <f t="shared" si="79"/>
        <v>36753000</v>
      </c>
      <c r="M400" s="1145">
        <f t="shared" si="79"/>
        <v>34000</v>
      </c>
      <c r="N400" s="1145">
        <f t="shared" si="79"/>
        <v>6491824</v>
      </c>
      <c r="O400" s="1145">
        <f t="shared" si="79"/>
        <v>0</v>
      </c>
      <c r="P400" s="1145">
        <f t="shared" si="79"/>
        <v>0</v>
      </c>
      <c r="Q400" s="1145">
        <f t="shared" si="79"/>
        <v>0</v>
      </c>
      <c r="R400" s="1145">
        <f t="shared" si="79"/>
        <v>6491824</v>
      </c>
      <c r="S400" s="1145">
        <f t="shared" si="79"/>
        <v>6485824</v>
      </c>
      <c r="T400" s="1145">
        <f t="shared" si="79"/>
        <v>6000</v>
      </c>
      <c r="U400" s="1145">
        <f t="shared" si="79"/>
        <v>0</v>
      </c>
      <c r="V400" s="1145">
        <f t="shared" si="79"/>
        <v>0</v>
      </c>
      <c r="W400" s="1145">
        <f t="shared" si="79"/>
        <v>0</v>
      </c>
    </row>
    <row r="401" spans="1:24" ht="15" hidden="1" customHeight="1">
      <c r="A401" s="1156"/>
      <c r="B401" s="1156"/>
      <c r="C401" s="1156"/>
      <c r="D401" s="1156"/>
      <c r="E401" s="1156"/>
      <c r="F401" s="1156"/>
      <c r="G401" s="1156"/>
      <c r="H401" s="704">
        <f t="shared" ref="H401:I404" si="80">H376+H381+H391+H396+H386</f>
        <v>193321334</v>
      </c>
      <c r="I401" s="704">
        <f t="shared" si="80"/>
        <v>61534407</v>
      </c>
      <c r="J401" s="1145"/>
      <c r="K401" s="1145"/>
      <c r="L401" s="1145"/>
      <c r="M401" s="1145"/>
      <c r="N401" s="1145"/>
      <c r="O401" s="1145"/>
      <c r="P401" s="1145"/>
      <c r="Q401" s="1145"/>
      <c r="R401" s="1145"/>
      <c r="S401" s="1145"/>
      <c r="T401" s="1145"/>
      <c r="U401" s="1145"/>
      <c r="V401" s="1145"/>
      <c r="W401" s="1145"/>
    </row>
    <row r="402" spans="1:24" ht="15" hidden="1" customHeight="1">
      <c r="A402" s="1156"/>
      <c r="B402" s="1156"/>
      <c r="C402" s="1156"/>
      <c r="D402" s="1156"/>
      <c r="E402" s="1156"/>
      <c r="F402" s="1156"/>
      <c r="G402" s="1156"/>
      <c r="H402" s="704">
        <f t="shared" si="80"/>
        <v>0</v>
      </c>
      <c r="I402" s="704">
        <f t="shared" si="80"/>
        <v>0</v>
      </c>
      <c r="J402" s="699">
        <f t="shared" ref="J402:W402" si="81">J377+J382+J392+J397+J387</f>
        <v>0</v>
      </c>
      <c r="K402" s="699">
        <f t="shared" si="81"/>
        <v>0</v>
      </c>
      <c r="L402" s="699">
        <f t="shared" si="81"/>
        <v>0</v>
      </c>
      <c r="M402" s="699">
        <f t="shared" si="81"/>
        <v>0</v>
      </c>
      <c r="N402" s="699">
        <f t="shared" si="81"/>
        <v>0</v>
      </c>
      <c r="O402" s="699">
        <f t="shared" si="81"/>
        <v>0</v>
      </c>
      <c r="P402" s="699">
        <f t="shared" si="81"/>
        <v>0</v>
      </c>
      <c r="Q402" s="699">
        <f t="shared" si="81"/>
        <v>0</v>
      </c>
      <c r="R402" s="699">
        <f t="shared" si="81"/>
        <v>0</v>
      </c>
      <c r="S402" s="699">
        <f t="shared" si="81"/>
        <v>0</v>
      </c>
      <c r="T402" s="699">
        <f t="shared" si="81"/>
        <v>0</v>
      </c>
      <c r="U402" s="699">
        <f t="shared" si="81"/>
        <v>0</v>
      </c>
      <c r="V402" s="699">
        <f t="shared" si="81"/>
        <v>0</v>
      </c>
      <c r="W402" s="699">
        <f t="shared" si="81"/>
        <v>0</v>
      </c>
    </row>
    <row r="403" spans="1:24" ht="15" hidden="1" customHeight="1">
      <c r="A403" s="1156"/>
      <c r="B403" s="1156"/>
      <c r="C403" s="1156"/>
      <c r="D403" s="1156"/>
      <c r="E403" s="1156"/>
      <c r="F403" s="1156"/>
      <c r="G403" s="1156"/>
      <c r="H403" s="704">
        <f t="shared" si="80"/>
        <v>34115529</v>
      </c>
      <c r="I403" s="704">
        <f t="shared" si="80"/>
        <v>10859014</v>
      </c>
      <c r="J403" s="1145">
        <f t="shared" ref="J403:W403" si="82">J400+J402</f>
        <v>43278824</v>
      </c>
      <c r="K403" s="1145">
        <f t="shared" si="82"/>
        <v>36787000</v>
      </c>
      <c r="L403" s="1145">
        <f t="shared" si="82"/>
        <v>36753000</v>
      </c>
      <c r="M403" s="1145">
        <f t="shared" si="82"/>
        <v>34000</v>
      </c>
      <c r="N403" s="1145">
        <f t="shared" si="82"/>
        <v>6491824</v>
      </c>
      <c r="O403" s="1145">
        <f t="shared" si="82"/>
        <v>0</v>
      </c>
      <c r="P403" s="1145">
        <f t="shared" si="82"/>
        <v>0</v>
      </c>
      <c r="Q403" s="1145">
        <f t="shared" si="82"/>
        <v>0</v>
      </c>
      <c r="R403" s="1145">
        <f t="shared" si="82"/>
        <v>6491824</v>
      </c>
      <c r="S403" s="1145">
        <f t="shared" si="82"/>
        <v>6485824</v>
      </c>
      <c r="T403" s="1145">
        <f t="shared" si="82"/>
        <v>6000</v>
      </c>
      <c r="U403" s="1145">
        <f t="shared" si="82"/>
        <v>0</v>
      </c>
      <c r="V403" s="1145">
        <f t="shared" si="82"/>
        <v>0</v>
      </c>
      <c r="W403" s="1145">
        <f t="shared" si="82"/>
        <v>0</v>
      </c>
    </row>
    <row r="404" spans="1:24" ht="15" hidden="1" customHeight="1">
      <c r="A404" s="1156"/>
      <c r="B404" s="1156"/>
      <c r="C404" s="1156"/>
      <c r="D404" s="1156"/>
      <c r="E404" s="1156"/>
      <c r="F404" s="1156"/>
      <c r="G404" s="1156"/>
      <c r="H404" s="704">
        <f t="shared" si="80"/>
        <v>0</v>
      </c>
      <c r="I404" s="704">
        <f t="shared" si="80"/>
        <v>0</v>
      </c>
      <c r="J404" s="1145"/>
      <c r="K404" s="1145"/>
      <c r="L404" s="1145"/>
      <c r="M404" s="1145"/>
      <c r="N404" s="1145"/>
      <c r="O404" s="1145"/>
      <c r="P404" s="1145"/>
      <c r="Q404" s="1145"/>
      <c r="R404" s="1145"/>
      <c r="S404" s="1145"/>
      <c r="T404" s="1145"/>
      <c r="U404" s="1145"/>
      <c r="V404" s="1145"/>
      <c r="W404" s="1145"/>
    </row>
    <row r="405" spans="1:24" s="688" customFormat="1" ht="19.5" customHeight="1">
      <c r="A405" s="1146" t="s">
        <v>905</v>
      </c>
      <c r="B405" s="1147"/>
      <c r="C405" s="1147"/>
      <c r="D405" s="1147"/>
      <c r="E405" s="1147"/>
      <c r="F405" s="1147"/>
      <c r="G405" s="1147"/>
      <c r="H405" s="1147"/>
      <c r="I405" s="1147"/>
      <c r="J405" s="1147"/>
      <c r="K405" s="1147"/>
      <c r="L405" s="1147"/>
      <c r="M405" s="1147"/>
      <c r="N405" s="1147"/>
      <c r="O405" s="1147"/>
      <c r="P405" s="1147"/>
      <c r="Q405" s="1147"/>
      <c r="R405" s="1147"/>
      <c r="S405" s="1147"/>
      <c r="T405" s="1147"/>
      <c r="U405" s="1147"/>
      <c r="V405" s="1147"/>
      <c r="W405" s="1148"/>
      <c r="X405" s="689"/>
    </row>
    <row r="406" spans="1:24" s="706" customFormat="1" ht="4.5" customHeight="1">
      <c r="A406" s="1125"/>
      <c r="B406" s="1125"/>
      <c r="C406" s="1125"/>
      <c r="D406" s="1125"/>
      <c r="E406" s="1125"/>
      <c r="F406" s="1125"/>
      <c r="G406" s="1125"/>
      <c r="H406" s="1125"/>
      <c r="I406" s="1125"/>
      <c r="J406" s="1125"/>
      <c r="K406" s="1125"/>
      <c r="L406" s="1125"/>
      <c r="M406" s="1125"/>
      <c r="N406" s="1125"/>
      <c r="O406" s="1125"/>
      <c r="P406" s="1125"/>
      <c r="Q406" s="1125"/>
      <c r="R406" s="1125"/>
      <c r="S406" s="1125"/>
      <c r="T406" s="1125"/>
      <c r="U406" s="1125"/>
      <c r="V406" s="1125"/>
      <c r="W406" s="1125"/>
      <c r="X406" s="705"/>
    </row>
    <row r="407" spans="1:24" ht="14.25" customHeight="1">
      <c r="A407" s="1125">
        <v>1</v>
      </c>
      <c r="B407" s="1143" t="s">
        <v>906</v>
      </c>
      <c r="C407" s="1157" t="s">
        <v>907</v>
      </c>
      <c r="D407" s="1144" t="s">
        <v>908</v>
      </c>
      <c r="E407" s="1124" t="s">
        <v>733</v>
      </c>
      <c r="F407" s="1124" t="s">
        <v>880</v>
      </c>
      <c r="G407" s="1124" t="s">
        <v>909</v>
      </c>
      <c r="H407" s="691" t="s">
        <v>239</v>
      </c>
      <c r="I407" s="691" t="s">
        <v>239</v>
      </c>
      <c r="J407" s="1128">
        <f>K407+N407</f>
        <v>862734</v>
      </c>
      <c r="K407" s="1128">
        <f>L407+M407</f>
        <v>0</v>
      </c>
      <c r="L407" s="1129">
        <v>0</v>
      </c>
      <c r="M407" s="1129">
        <v>0</v>
      </c>
      <c r="N407" s="1128">
        <f>O407+R407+U407</f>
        <v>862734</v>
      </c>
      <c r="O407" s="1128">
        <f>P407+Q407</f>
        <v>862734</v>
      </c>
      <c r="P407" s="1129">
        <v>0</v>
      </c>
      <c r="Q407" s="1129">
        <v>862734</v>
      </c>
      <c r="R407" s="1128">
        <f>S407+T407</f>
        <v>0</v>
      </c>
      <c r="S407" s="1129">
        <v>0</v>
      </c>
      <c r="T407" s="1129">
        <v>0</v>
      </c>
      <c r="U407" s="1128">
        <f>V407+W407</f>
        <v>0</v>
      </c>
      <c r="V407" s="1129">
        <v>0</v>
      </c>
      <c r="W407" s="1129">
        <v>0</v>
      </c>
    </row>
    <row r="408" spans="1:24" ht="14.25" customHeight="1">
      <c r="A408" s="1125"/>
      <c r="B408" s="1143"/>
      <c r="C408" s="1158"/>
      <c r="D408" s="1144"/>
      <c r="E408" s="1124"/>
      <c r="F408" s="1124"/>
      <c r="G408" s="1124"/>
      <c r="H408" s="691" t="s">
        <v>239</v>
      </c>
      <c r="I408" s="691" t="s">
        <v>239</v>
      </c>
      <c r="J408" s="1128"/>
      <c r="K408" s="1128"/>
      <c r="L408" s="1129"/>
      <c r="M408" s="1129"/>
      <c r="N408" s="1128"/>
      <c r="O408" s="1128"/>
      <c r="P408" s="1129"/>
      <c r="Q408" s="1129"/>
      <c r="R408" s="1128"/>
      <c r="S408" s="1129"/>
      <c r="T408" s="1129"/>
      <c r="U408" s="1128"/>
      <c r="V408" s="1129"/>
      <c r="W408" s="1129"/>
    </row>
    <row r="409" spans="1:24" ht="14.25" customHeight="1">
      <c r="A409" s="1125"/>
      <c r="B409" s="1143"/>
      <c r="C409" s="1158"/>
      <c r="D409" s="1144"/>
      <c r="E409" s="1124"/>
      <c r="F409" s="1124"/>
      <c r="G409" s="1124"/>
      <c r="H409" s="691" t="s">
        <v>239</v>
      </c>
      <c r="I409" s="691" t="s">
        <v>239</v>
      </c>
      <c r="J409" s="693">
        <f>K409+N409</f>
        <v>-488957</v>
      </c>
      <c r="K409" s="693">
        <f>L409+M409</f>
        <v>0</v>
      </c>
      <c r="L409" s="694">
        <v>0</v>
      </c>
      <c r="M409" s="694">
        <v>0</v>
      </c>
      <c r="N409" s="693">
        <f>O409+R409+U409</f>
        <v>-488957</v>
      </c>
      <c r="O409" s="693">
        <f>P409+Q409</f>
        <v>-488957</v>
      </c>
      <c r="P409" s="694">
        <v>0</v>
      </c>
      <c r="Q409" s="694">
        <v>-488957</v>
      </c>
      <c r="R409" s="693">
        <f>S409+T409</f>
        <v>0</v>
      </c>
      <c r="S409" s="694">
        <v>0</v>
      </c>
      <c r="T409" s="694">
        <v>0</v>
      </c>
      <c r="U409" s="693">
        <f>V409+W409</f>
        <v>0</v>
      </c>
      <c r="V409" s="694">
        <v>0</v>
      </c>
      <c r="W409" s="694">
        <v>0</v>
      </c>
    </row>
    <row r="410" spans="1:24" ht="14.25" customHeight="1">
      <c r="A410" s="1125"/>
      <c r="B410" s="1143"/>
      <c r="C410" s="1158"/>
      <c r="D410" s="1144"/>
      <c r="E410" s="1124"/>
      <c r="F410" s="1124"/>
      <c r="G410" s="1124"/>
      <c r="H410" s="691" t="s">
        <v>239</v>
      </c>
      <c r="I410" s="691" t="s">
        <v>239</v>
      </c>
      <c r="J410" s="1128">
        <f t="shared" ref="J410:W410" si="83">J407+J409</f>
        <v>373777</v>
      </c>
      <c r="K410" s="1128">
        <f t="shared" si="83"/>
        <v>0</v>
      </c>
      <c r="L410" s="1129">
        <f t="shared" si="83"/>
        <v>0</v>
      </c>
      <c r="M410" s="1129">
        <f t="shared" si="83"/>
        <v>0</v>
      </c>
      <c r="N410" s="1128">
        <f t="shared" si="83"/>
        <v>373777</v>
      </c>
      <c r="O410" s="1128">
        <f t="shared" si="83"/>
        <v>373777</v>
      </c>
      <c r="P410" s="1129">
        <f t="shared" si="83"/>
        <v>0</v>
      </c>
      <c r="Q410" s="1129">
        <f t="shared" si="83"/>
        <v>373777</v>
      </c>
      <c r="R410" s="1128">
        <f t="shared" si="83"/>
        <v>0</v>
      </c>
      <c r="S410" s="1129">
        <f t="shared" si="83"/>
        <v>0</v>
      </c>
      <c r="T410" s="1129">
        <f t="shared" si="83"/>
        <v>0</v>
      </c>
      <c r="U410" s="1128">
        <f t="shared" si="83"/>
        <v>0</v>
      </c>
      <c r="V410" s="1129">
        <f t="shared" si="83"/>
        <v>0</v>
      </c>
      <c r="W410" s="1129">
        <f t="shared" si="83"/>
        <v>0</v>
      </c>
    </row>
    <row r="411" spans="1:24" ht="14.25" customHeight="1">
      <c r="A411" s="1125"/>
      <c r="B411" s="1143"/>
      <c r="C411" s="1159"/>
      <c r="D411" s="1144"/>
      <c r="E411" s="1124"/>
      <c r="F411" s="1124"/>
      <c r="G411" s="1124"/>
      <c r="H411" s="691" t="s">
        <v>239</v>
      </c>
      <c r="I411" s="691" t="s">
        <v>239</v>
      </c>
      <c r="J411" s="1128"/>
      <c r="K411" s="1128"/>
      <c r="L411" s="1129"/>
      <c r="M411" s="1129"/>
      <c r="N411" s="1128"/>
      <c r="O411" s="1128"/>
      <c r="P411" s="1129"/>
      <c r="Q411" s="1129"/>
      <c r="R411" s="1128"/>
      <c r="S411" s="1129"/>
      <c r="T411" s="1129"/>
      <c r="U411" s="1128"/>
      <c r="V411" s="1129"/>
      <c r="W411" s="1129"/>
    </row>
    <row r="412" spans="1:24" ht="14.25" customHeight="1">
      <c r="A412" s="1125">
        <v>2</v>
      </c>
      <c r="B412" s="1160" t="s">
        <v>910</v>
      </c>
      <c r="C412" s="1157" t="s">
        <v>911</v>
      </c>
      <c r="D412" s="1144" t="s">
        <v>912</v>
      </c>
      <c r="E412" s="1124" t="s">
        <v>733</v>
      </c>
      <c r="F412" s="1124" t="s">
        <v>913</v>
      </c>
      <c r="G412" s="1124" t="s">
        <v>909</v>
      </c>
      <c r="H412" s="691" t="s">
        <v>239</v>
      </c>
      <c r="I412" s="691" t="s">
        <v>239</v>
      </c>
      <c r="J412" s="1128">
        <f>K412+N412</f>
        <v>60878</v>
      </c>
      <c r="K412" s="1128">
        <f>L412+M412</f>
        <v>0</v>
      </c>
      <c r="L412" s="1129">
        <v>0</v>
      </c>
      <c r="M412" s="1129">
        <v>0</v>
      </c>
      <c r="N412" s="1128">
        <f>O412+R412+U412</f>
        <v>60878</v>
      </c>
      <c r="O412" s="1128">
        <f>P412+Q412</f>
        <v>60878</v>
      </c>
      <c r="P412" s="1129">
        <v>0</v>
      </c>
      <c r="Q412" s="1129">
        <v>60878</v>
      </c>
      <c r="R412" s="1128">
        <f>S412+T412</f>
        <v>0</v>
      </c>
      <c r="S412" s="1129">
        <v>0</v>
      </c>
      <c r="T412" s="1129">
        <v>0</v>
      </c>
      <c r="U412" s="1128">
        <f>V412+W412</f>
        <v>0</v>
      </c>
      <c r="V412" s="1129">
        <v>0</v>
      </c>
      <c r="W412" s="1129">
        <v>0</v>
      </c>
    </row>
    <row r="413" spans="1:24" ht="14.25" customHeight="1">
      <c r="A413" s="1125"/>
      <c r="B413" s="1160"/>
      <c r="C413" s="1158"/>
      <c r="D413" s="1144"/>
      <c r="E413" s="1124"/>
      <c r="F413" s="1124"/>
      <c r="G413" s="1124"/>
      <c r="H413" s="691" t="s">
        <v>239</v>
      </c>
      <c r="I413" s="691" t="s">
        <v>239</v>
      </c>
      <c r="J413" s="1128"/>
      <c r="K413" s="1128"/>
      <c r="L413" s="1129"/>
      <c r="M413" s="1129"/>
      <c r="N413" s="1128"/>
      <c r="O413" s="1128"/>
      <c r="P413" s="1129"/>
      <c r="Q413" s="1129"/>
      <c r="R413" s="1128"/>
      <c r="S413" s="1129"/>
      <c r="T413" s="1129"/>
      <c r="U413" s="1128"/>
      <c r="V413" s="1129"/>
      <c r="W413" s="1129"/>
    </row>
    <row r="414" spans="1:24" ht="14.25" customHeight="1">
      <c r="A414" s="1125"/>
      <c r="B414" s="1160"/>
      <c r="C414" s="1158"/>
      <c r="D414" s="1144"/>
      <c r="E414" s="1124"/>
      <c r="F414" s="1124"/>
      <c r="G414" s="1124"/>
      <c r="H414" s="691" t="s">
        <v>239</v>
      </c>
      <c r="I414" s="691" t="s">
        <v>239</v>
      </c>
      <c r="J414" s="693">
        <f>K414+N414</f>
        <v>-36790</v>
      </c>
      <c r="K414" s="693">
        <f>L414+M414</f>
        <v>0</v>
      </c>
      <c r="L414" s="694">
        <v>0</v>
      </c>
      <c r="M414" s="694">
        <v>0</v>
      </c>
      <c r="N414" s="693">
        <f>O414+R414+U414</f>
        <v>-36790</v>
      </c>
      <c r="O414" s="693">
        <f>P414+Q414</f>
        <v>-36790</v>
      </c>
      <c r="P414" s="694">
        <v>0</v>
      </c>
      <c r="Q414" s="694">
        <v>-36790</v>
      </c>
      <c r="R414" s="693">
        <f>S414+T414</f>
        <v>0</v>
      </c>
      <c r="S414" s="694">
        <v>0</v>
      </c>
      <c r="T414" s="694">
        <v>0</v>
      </c>
      <c r="U414" s="693">
        <f>V414+W414</f>
        <v>0</v>
      </c>
      <c r="V414" s="694">
        <v>0</v>
      </c>
      <c r="W414" s="694">
        <v>0</v>
      </c>
    </row>
    <row r="415" spans="1:24" ht="14.25" customHeight="1">
      <c r="A415" s="1125"/>
      <c r="B415" s="1160"/>
      <c r="C415" s="1158"/>
      <c r="D415" s="1144"/>
      <c r="E415" s="1124"/>
      <c r="F415" s="1124"/>
      <c r="G415" s="1124"/>
      <c r="H415" s="691" t="s">
        <v>239</v>
      </c>
      <c r="I415" s="691" t="s">
        <v>239</v>
      </c>
      <c r="J415" s="1128">
        <f t="shared" ref="J415:W415" si="84">J412+J414</f>
        <v>24088</v>
      </c>
      <c r="K415" s="1128">
        <f t="shared" si="84"/>
        <v>0</v>
      </c>
      <c r="L415" s="1129">
        <f t="shared" si="84"/>
        <v>0</v>
      </c>
      <c r="M415" s="1129">
        <f t="shared" si="84"/>
        <v>0</v>
      </c>
      <c r="N415" s="1128">
        <f t="shared" si="84"/>
        <v>24088</v>
      </c>
      <c r="O415" s="1128">
        <f t="shared" si="84"/>
        <v>24088</v>
      </c>
      <c r="P415" s="1129">
        <f t="shared" si="84"/>
        <v>0</v>
      </c>
      <c r="Q415" s="1129">
        <f t="shared" si="84"/>
        <v>24088</v>
      </c>
      <c r="R415" s="1128">
        <f t="shared" si="84"/>
        <v>0</v>
      </c>
      <c r="S415" s="1129">
        <f t="shared" si="84"/>
        <v>0</v>
      </c>
      <c r="T415" s="1129">
        <f t="shared" si="84"/>
        <v>0</v>
      </c>
      <c r="U415" s="1128">
        <f t="shared" si="84"/>
        <v>0</v>
      </c>
      <c r="V415" s="1129">
        <f t="shared" si="84"/>
        <v>0</v>
      </c>
      <c r="W415" s="1129">
        <f t="shared" si="84"/>
        <v>0</v>
      </c>
    </row>
    <row r="416" spans="1:24" ht="14.25" customHeight="1">
      <c r="A416" s="1125"/>
      <c r="B416" s="1160"/>
      <c r="C416" s="1159"/>
      <c r="D416" s="1144"/>
      <c r="E416" s="1124"/>
      <c r="F416" s="1124"/>
      <c r="G416" s="1124"/>
      <c r="H416" s="691" t="s">
        <v>239</v>
      </c>
      <c r="I416" s="691" t="s">
        <v>239</v>
      </c>
      <c r="J416" s="1128"/>
      <c r="K416" s="1128"/>
      <c r="L416" s="1129"/>
      <c r="M416" s="1129"/>
      <c r="N416" s="1128"/>
      <c r="O416" s="1128"/>
      <c r="P416" s="1129"/>
      <c r="Q416" s="1129"/>
      <c r="R416" s="1128"/>
      <c r="S416" s="1129"/>
      <c r="T416" s="1129"/>
      <c r="U416" s="1128"/>
      <c r="V416" s="1129"/>
      <c r="W416" s="1129"/>
    </row>
    <row r="417" spans="1:23" ht="14.25" customHeight="1">
      <c r="A417" s="1125">
        <v>3</v>
      </c>
      <c r="B417" s="1143" t="s">
        <v>821</v>
      </c>
      <c r="C417" s="1157" t="s">
        <v>914</v>
      </c>
      <c r="D417" s="1144" t="s">
        <v>915</v>
      </c>
      <c r="E417" s="1124" t="s">
        <v>733</v>
      </c>
      <c r="F417" s="1124" t="s">
        <v>901</v>
      </c>
      <c r="G417" s="1124" t="s">
        <v>909</v>
      </c>
      <c r="H417" s="691" t="s">
        <v>239</v>
      </c>
      <c r="I417" s="691" t="s">
        <v>239</v>
      </c>
      <c r="J417" s="1128">
        <f>K417+N417</f>
        <v>9633463</v>
      </c>
      <c r="K417" s="1128">
        <f>L417+M417</f>
        <v>0</v>
      </c>
      <c r="L417" s="1129">
        <v>0</v>
      </c>
      <c r="M417" s="1129">
        <v>0</v>
      </c>
      <c r="N417" s="1128">
        <f>O417+R417+U417</f>
        <v>9633463</v>
      </c>
      <c r="O417" s="1128">
        <f>P417+Q417</f>
        <v>9633463</v>
      </c>
      <c r="P417" s="1129">
        <v>21705</v>
      </c>
      <c r="Q417" s="1129">
        <v>9611758</v>
      </c>
      <c r="R417" s="1128">
        <f>S417+T417</f>
        <v>0</v>
      </c>
      <c r="S417" s="1129">
        <v>0</v>
      </c>
      <c r="T417" s="1129">
        <v>0</v>
      </c>
      <c r="U417" s="1128">
        <f>V417+W417</f>
        <v>0</v>
      </c>
      <c r="V417" s="1129">
        <v>0</v>
      </c>
      <c r="W417" s="1129">
        <v>0</v>
      </c>
    </row>
    <row r="418" spans="1:23" ht="14.25" customHeight="1">
      <c r="A418" s="1125"/>
      <c r="B418" s="1143"/>
      <c r="C418" s="1158"/>
      <c r="D418" s="1144"/>
      <c r="E418" s="1124"/>
      <c r="F418" s="1124"/>
      <c r="G418" s="1124"/>
      <c r="H418" s="691" t="s">
        <v>239</v>
      </c>
      <c r="I418" s="691" t="s">
        <v>239</v>
      </c>
      <c r="J418" s="1128"/>
      <c r="K418" s="1128"/>
      <c r="L418" s="1129"/>
      <c r="M418" s="1129"/>
      <c r="N418" s="1128"/>
      <c r="O418" s="1128"/>
      <c r="P418" s="1129"/>
      <c r="Q418" s="1129"/>
      <c r="R418" s="1128"/>
      <c r="S418" s="1129"/>
      <c r="T418" s="1129"/>
      <c r="U418" s="1128"/>
      <c r="V418" s="1129"/>
      <c r="W418" s="1129"/>
    </row>
    <row r="419" spans="1:23" ht="14.25" customHeight="1">
      <c r="A419" s="1125"/>
      <c r="B419" s="1143"/>
      <c r="C419" s="1158"/>
      <c r="D419" s="1144"/>
      <c r="E419" s="1124"/>
      <c r="F419" s="1124"/>
      <c r="G419" s="1124"/>
      <c r="H419" s="691" t="s">
        <v>239</v>
      </c>
      <c r="I419" s="691" t="s">
        <v>239</v>
      </c>
      <c r="J419" s="693">
        <f>K419+N419</f>
        <v>-6195228</v>
      </c>
      <c r="K419" s="693">
        <f>L419+M419</f>
        <v>0</v>
      </c>
      <c r="L419" s="694">
        <v>0</v>
      </c>
      <c r="M419" s="694">
        <v>0</v>
      </c>
      <c r="N419" s="693">
        <f>O419+R419+U419</f>
        <v>-6195228</v>
      </c>
      <c r="O419" s="693">
        <f>P419+Q419</f>
        <v>-6195228</v>
      </c>
      <c r="P419" s="694">
        <v>736683</v>
      </c>
      <c r="Q419" s="694">
        <v>-6931911</v>
      </c>
      <c r="R419" s="693">
        <f>S419+T419</f>
        <v>0</v>
      </c>
      <c r="S419" s="694">
        <v>0</v>
      </c>
      <c r="T419" s="694">
        <v>0</v>
      </c>
      <c r="U419" s="693">
        <f>V419+W419</f>
        <v>0</v>
      </c>
      <c r="V419" s="694">
        <v>0</v>
      </c>
      <c r="W419" s="694">
        <v>0</v>
      </c>
    </row>
    <row r="420" spans="1:23" ht="14.25" customHeight="1">
      <c r="A420" s="1125"/>
      <c r="B420" s="1143"/>
      <c r="C420" s="1158"/>
      <c r="D420" s="1144"/>
      <c r="E420" s="1124"/>
      <c r="F420" s="1124"/>
      <c r="G420" s="1124"/>
      <c r="H420" s="691" t="s">
        <v>239</v>
      </c>
      <c r="I420" s="691" t="s">
        <v>239</v>
      </c>
      <c r="J420" s="1128">
        <f t="shared" ref="J420:W420" si="85">J417+J419</f>
        <v>3438235</v>
      </c>
      <c r="K420" s="1128">
        <f t="shared" si="85"/>
        <v>0</v>
      </c>
      <c r="L420" s="1129">
        <f t="shared" si="85"/>
        <v>0</v>
      </c>
      <c r="M420" s="1129">
        <f t="shared" si="85"/>
        <v>0</v>
      </c>
      <c r="N420" s="1128">
        <f t="shared" si="85"/>
        <v>3438235</v>
      </c>
      <c r="O420" s="1128">
        <f t="shared" si="85"/>
        <v>3438235</v>
      </c>
      <c r="P420" s="1129">
        <f t="shared" si="85"/>
        <v>758388</v>
      </c>
      <c r="Q420" s="1129">
        <f t="shared" si="85"/>
        <v>2679847</v>
      </c>
      <c r="R420" s="1128">
        <f t="shared" si="85"/>
        <v>0</v>
      </c>
      <c r="S420" s="1129">
        <f t="shared" si="85"/>
        <v>0</v>
      </c>
      <c r="T420" s="1129">
        <f t="shared" si="85"/>
        <v>0</v>
      </c>
      <c r="U420" s="1128">
        <f t="shared" si="85"/>
        <v>0</v>
      </c>
      <c r="V420" s="1129">
        <f t="shared" si="85"/>
        <v>0</v>
      </c>
      <c r="W420" s="1129">
        <f t="shared" si="85"/>
        <v>0</v>
      </c>
    </row>
    <row r="421" spans="1:23" ht="14.25" customHeight="1">
      <c r="A421" s="1125"/>
      <c r="B421" s="1143"/>
      <c r="C421" s="1159"/>
      <c r="D421" s="1144"/>
      <c r="E421" s="1124"/>
      <c r="F421" s="1124"/>
      <c r="G421" s="1124"/>
      <c r="H421" s="691" t="s">
        <v>239</v>
      </c>
      <c r="I421" s="691" t="s">
        <v>239</v>
      </c>
      <c r="J421" s="1128"/>
      <c r="K421" s="1128"/>
      <c r="L421" s="1129"/>
      <c r="M421" s="1129"/>
      <c r="N421" s="1128"/>
      <c r="O421" s="1128"/>
      <c r="P421" s="1129"/>
      <c r="Q421" s="1129"/>
      <c r="R421" s="1128"/>
      <c r="S421" s="1129"/>
      <c r="T421" s="1129"/>
      <c r="U421" s="1128"/>
      <c r="V421" s="1129"/>
      <c r="W421" s="1129"/>
    </row>
    <row r="422" spans="1:23" ht="14.25" customHeight="1">
      <c r="A422" s="1125">
        <v>4</v>
      </c>
      <c r="B422" s="1143" t="s">
        <v>916</v>
      </c>
      <c r="C422" s="1157" t="s">
        <v>917</v>
      </c>
      <c r="D422" s="1144" t="s">
        <v>918</v>
      </c>
      <c r="E422" s="1124" t="s">
        <v>733</v>
      </c>
      <c r="F422" s="1124" t="s">
        <v>857</v>
      </c>
      <c r="G422" s="1124" t="s">
        <v>909</v>
      </c>
      <c r="H422" s="691" t="s">
        <v>239</v>
      </c>
      <c r="I422" s="691" t="s">
        <v>239</v>
      </c>
      <c r="J422" s="1128">
        <f>K422+N422</f>
        <v>1302785</v>
      </c>
      <c r="K422" s="1128">
        <f>L422+M422</f>
        <v>0</v>
      </c>
      <c r="L422" s="1129">
        <v>0</v>
      </c>
      <c r="M422" s="1129">
        <v>0</v>
      </c>
      <c r="N422" s="1128">
        <f>O422+R422+U422</f>
        <v>1302785</v>
      </c>
      <c r="O422" s="1128">
        <f>P422+Q422</f>
        <v>1302785</v>
      </c>
      <c r="P422" s="1129">
        <v>238</v>
      </c>
      <c r="Q422" s="1129">
        <v>1302547</v>
      </c>
      <c r="R422" s="1128">
        <f>S422+T422</f>
        <v>0</v>
      </c>
      <c r="S422" s="1129">
        <v>0</v>
      </c>
      <c r="T422" s="1129">
        <v>0</v>
      </c>
      <c r="U422" s="1128">
        <f>V422+W422</f>
        <v>0</v>
      </c>
      <c r="V422" s="1129">
        <v>0</v>
      </c>
      <c r="W422" s="1129">
        <v>0</v>
      </c>
    </row>
    <row r="423" spans="1:23" ht="14.25" customHeight="1">
      <c r="A423" s="1125"/>
      <c r="B423" s="1143"/>
      <c r="C423" s="1158"/>
      <c r="D423" s="1144"/>
      <c r="E423" s="1124"/>
      <c r="F423" s="1124"/>
      <c r="G423" s="1124"/>
      <c r="H423" s="691" t="s">
        <v>239</v>
      </c>
      <c r="I423" s="691" t="s">
        <v>239</v>
      </c>
      <c r="J423" s="1128"/>
      <c r="K423" s="1128"/>
      <c r="L423" s="1129"/>
      <c r="M423" s="1129"/>
      <c r="N423" s="1128"/>
      <c r="O423" s="1128"/>
      <c r="P423" s="1129"/>
      <c r="Q423" s="1129"/>
      <c r="R423" s="1128"/>
      <c r="S423" s="1129"/>
      <c r="T423" s="1129"/>
      <c r="U423" s="1128"/>
      <c r="V423" s="1129"/>
      <c r="W423" s="1129"/>
    </row>
    <row r="424" spans="1:23" ht="14.25" customHeight="1">
      <c r="A424" s="1125"/>
      <c r="B424" s="1143"/>
      <c r="C424" s="1158"/>
      <c r="D424" s="1144"/>
      <c r="E424" s="1124"/>
      <c r="F424" s="1124"/>
      <c r="G424" s="1124"/>
      <c r="H424" s="691" t="s">
        <v>239</v>
      </c>
      <c r="I424" s="691" t="s">
        <v>239</v>
      </c>
      <c r="J424" s="693">
        <f>K424+N424</f>
        <v>-1175461</v>
      </c>
      <c r="K424" s="693">
        <f>L424+M424</f>
        <v>0</v>
      </c>
      <c r="L424" s="694">
        <v>0</v>
      </c>
      <c r="M424" s="694">
        <v>0</v>
      </c>
      <c r="N424" s="693">
        <f>O424+R424+U424</f>
        <v>-1175461</v>
      </c>
      <c r="O424" s="693">
        <f>P424+Q424</f>
        <v>-1175461</v>
      </c>
      <c r="P424" s="694">
        <v>-238</v>
      </c>
      <c r="Q424" s="694">
        <v>-1175223</v>
      </c>
      <c r="R424" s="693">
        <f>S424+T424</f>
        <v>0</v>
      </c>
      <c r="S424" s="694">
        <v>0</v>
      </c>
      <c r="T424" s="694">
        <v>0</v>
      </c>
      <c r="U424" s="693">
        <f>V424+W424</f>
        <v>0</v>
      </c>
      <c r="V424" s="694">
        <v>0</v>
      </c>
      <c r="W424" s="694">
        <v>0</v>
      </c>
    </row>
    <row r="425" spans="1:23" ht="14.25" customHeight="1">
      <c r="A425" s="1125"/>
      <c r="B425" s="1143"/>
      <c r="C425" s="1158"/>
      <c r="D425" s="1144"/>
      <c r="E425" s="1124"/>
      <c r="F425" s="1124"/>
      <c r="G425" s="1124"/>
      <c r="H425" s="691" t="s">
        <v>239</v>
      </c>
      <c r="I425" s="691" t="s">
        <v>239</v>
      </c>
      <c r="J425" s="1128">
        <f t="shared" ref="J425:W425" si="86">J422+J424</f>
        <v>127324</v>
      </c>
      <c r="K425" s="1128">
        <f t="shared" si="86"/>
        <v>0</v>
      </c>
      <c r="L425" s="1129">
        <f t="shared" si="86"/>
        <v>0</v>
      </c>
      <c r="M425" s="1129">
        <f t="shared" si="86"/>
        <v>0</v>
      </c>
      <c r="N425" s="1128">
        <f t="shared" si="86"/>
        <v>127324</v>
      </c>
      <c r="O425" s="1128">
        <f t="shared" si="86"/>
        <v>127324</v>
      </c>
      <c r="P425" s="1129">
        <f t="shared" si="86"/>
        <v>0</v>
      </c>
      <c r="Q425" s="1129">
        <f t="shared" si="86"/>
        <v>127324</v>
      </c>
      <c r="R425" s="1128">
        <f t="shared" si="86"/>
        <v>0</v>
      </c>
      <c r="S425" s="1129">
        <f t="shared" si="86"/>
        <v>0</v>
      </c>
      <c r="T425" s="1129">
        <f t="shared" si="86"/>
        <v>0</v>
      </c>
      <c r="U425" s="1128">
        <f t="shared" si="86"/>
        <v>0</v>
      </c>
      <c r="V425" s="1129">
        <f t="shared" si="86"/>
        <v>0</v>
      </c>
      <c r="W425" s="1129">
        <f t="shared" si="86"/>
        <v>0</v>
      </c>
    </row>
    <row r="426" spans="1:23" ht="14.25" customHeight="1">
      <c r="A426" s="1125"/>
      <c r="B426" s="1143"/>
      <c r="C426" s="1159"/>
      <c r="D426" s="1144"/>
      <c r="E426" s="1124"/>
      <c r="F426" s="1124"/>
      <c r="G426" s="1124"/>
      <c r="H426" s="691" t="s">
        <v>239</v>
      </c>
      <c r="I426" s="691" t="s">
        <v>239</v>
      </c>
      <c r="J426" s="1128"/>
      <c r="K426" s="1128"/>
      <c r="L426" s="1129"/>
      <c r="M426" s="1129"/>
      <c r="N426" s="1128"/>
      <c r="O426" s="1128"/>
      <c r="P426" s="1129"/>
      <c r="Q426" s="1129"/>
      <c r="R426" s="1128"/>
      <c r="S426" s="1129"/>
      <c r="T426" s="1129"/>
      <c r="U426" s="1128"/>
      <c r="V426" s="1129"/>
      <c r="W426" s="1129"/>
    </row>
    <row r="427" spans="1:23" ht="14.25" customHeight="1">
      <c r="A427" s="1125">
        <v>5</v>
      </c>
      <c r="B427" s="1143" t="s">
        <v>919</v>
      </c>
      <c r="C427" s="1157" t="s">
        <v>920</v>
      </c>
      <c r="D427" s="1144" t="s">
        <v>921</v>
      </c>
      <c r="E427" s="1124" t="s">
        <v>733</v>
      </c>
      <c r="F427" s="1124" t="s">
        <v>922</v>
      </c>
      <c r="G427" s="1124" t="s">
        <v>909</v>
      </c>
      <c r="H427" s="691" t="s">
        <v>239</v>
      </c>
      <c r="I427" s="691" t="s">
        <v>239</v>
      </c>
      <c r="J427" s="1128">
        <f>K427+N427</f>
        <v>1032360</v>
      </c>
      <c r="K427" s="1128">
        <f>L427+M427</f>
        <v>0</v>
      </c>
      <c r="L427" s="1129">
        <v>0</v>
      </c>
      <c r="M427" s="1129">
        <v>0</v>
      </c>
      <c r="N427" s="1128">
        <f>O427+R427+U427</f>
        <v>1032360</v>
      </c>
      <c r="O427" s="1128">
        <f>P427+Q427</f>
        <v>1032360</v>
      </c>
      <c r="P427" s="1129">
        <v>7129</v>
      </c>
      <c r="Q427" s="1129">
        <v>1025231</v>
      </c>
      <c r="R427" s="1128">
        <f>S427+T427</f>
        <v>0</v>
      </c>
      <c r="S427" s="1129">
        <v>0</v>
      </c>
      <c r="T427" s="1129">
        <v>0</v>
      </c>
      <c r="U427" s="1128">
        <f>V427+W427</f>
        <v>0</v>
      </c>
      <c r="V427" s="1129">
        <v>0</v>
      </c>
      <c r="W427" s="1129">
        <v>0</v>
      </c>
    </row>
    <row r="428" spans="1:23" ht="14.25" customHeight="1">
      <c r="A428" s="1125"/>
      <c r="B428" s="1143"/>
      <c r="C428" s="1158"/>
      <c r="D428" s="1144"/>
      <c r="E428" s="1124"/>
      <c r="F428" s="1124"/>
      <c r="G428" s="1124"/>
      <c r="H428" s="691" t="s">
        <v>239</v>
      </c>
      <c r="I428" s="691" t="s">
        <v>239</v>
      </c>
      <c r="J428" s="1128"/>
      <c r="K428" s="1128"/>
      <c r="L428" s="1129"/>
      <c r="M428" s="1129"/>
      <c r="N428" s="1128"/>
      <c r="O428" s="1128"/>
      <c r="P428" s="1129"/>
      <c r="Q428" s="1129"/>
      <c r="R428" s="1128"/>
      <c r="S428" s="1129"/>
      <c r="T428" s="1129"/>
      <c r="U428" s="1128"/>
      <c r="V428" s="1129"/>
      <c r="W428" s="1129"/>
    </row>
    <row r="429" spans="1:23" ht="14.25" customHeight="1">
      <c r="A429" s="1125"/>
      <c r="B429" s="1143"/>
      <c r="C429" s="1158"/>
      <c r="D429" s="1144"/>
      <c r="E429" s="1124"/>
      <c r="F429" s="1124"/>
      <c r="G429" s="1124"/>
      <c r="H429" s="691" t="s">
        <v>239</v>
      </c>
      <c r="I429" s="691" t="s">
        <v>239</v>
      </c>
      <c r="J429" s="693">
        <f>K429+N429</f>
        <v>-400271</v>
      </c>
      <c r="K429" s="693">
        <f>L429+M429</f>
        <v>0</v>
      </c>
      <c r="L429" s="694">
        <v>0</v>
      </c>
      <c r="M429" s="694">
        <v>0</v>
      </c>
      <c r="N429" s="693">
        <f>O429+R429+U429</f>
        <v>-400271</v>
      </c>
      <c r="O429" s="693">
        <f>P429+Q429</f>
        <v>-400271</v>
      </c>
      <c r="P429" s="694">
        <v>0</v>
      </c>
      <c r="Q429" s="694">
        <v>-400271</v>
      </c>
      <c r="R429" s="693">
        <f>S429+T429</f>
        <v>0</v>
      </c>
      <c r="S429" s="694">
        <v>0</v>
      </c>
      <c r="T429" s="694">
        <v>0</v>
      </c>
      <c r="U429" s="693">
        <f>V429+W429</f>
        <v>0</v>
      </c>
      <c r="V429" s="694">
        <v>0</v>
      </c>
      <c r="W429" s="694">
        <v>0</v>
      </c>
    </row>
    <row r="430" spans="1:23" ht="14.25" customHeight="1">
      <c r="A430" s="1125"/>
      <c r="B430" s="1143"/>
      <c r="C430" s="1158"/>
      <c r="D430" s="1144"/>
      <c r="E430" s="1124"/>
      <c r="F430" s="1124"/>
      <c r="G430" s="1124"/>
      <c r="H430" s="691" t="s">
        <v>239</v>
      </c>
      <c r="I430" s="691" t="s">
        <v>239</v>
      </c>
      <c r="J430" s="1128">
        <f t="shared" ref="J430:W430" si="87">J427+J429</f>
        <v>632089</v>
      </c>
      <c r="K430" s="1128">
        <f t="shared" si="87"/>
        <v>0</v>
      </c>
      <c r="L430" s="1129">
        <f t="shared" si="87"/>
        <v>0</v>
      </c>
      <c r="M430" s="1129">
        <f t="shared" si="87"/>
        <v>0</v>
      </c>
      <c r="N430" s="1128">
        <f t="shared" si="87"/>
        <v>632089</v>
      </c>
      <c r="O430" s="1128">
        <f t="shared" si="87"/>
        <v>632089</v>
      </c>
      <c r="P430" s="1129">
        <f t="shared" si="87"/>
        <v>7129</v>
      </c>
      <c r="Q430" s="1129">
        <f t="shared" si="87"/>
        <v>624960</v>
      </c>
      <c r="R430" s="1128">
        <f t="shared" si="87"/>
        <v>0</v>
      </c>
      <c r="S430" s="1129">
        <f t="shared" si="87"/>
        <v>0</v>
      </c>
      <c r="T430" s="1129">
        <f t="shared" si="87"/>
        <v>0</v>
      </c>
      <c r="U430" s="1128">
        <f t="shared" si="87"/>
        <v>0</v>
      </c>
      <c r="V430" s="1129">
        <f t="shared" si="87"/>
        <v>0</v>
      </c>
      <c r="W430" s="1129">
        <f t="shared" si="87"/>
        <v>0</v>
      </c>
    </row>
    <row r="431" spans="1:23" ht="14.25" customHeight="1">
      <c r="A431" s="1125"/>
      <c r="B431" s="1143"/>
      <c r="C431" s="1159"/>
      <c r="D431" s="1144"/>
      <c r="E431" s="1124"/>
      <c r="F431" s="1124"/>
      <c r="G431" s="1124"/>
      <c r="H431" s="691" t="s">
        <v>239</v>
      </c>
      <c r="I431" s="691" t="s">
        <v>239</v>
      </c>
      <c r="J431" s="1128"/>
      <c r="K431" s="1128"/>
      <c r="L431" s="1129"/>
      <c r="M431" s="1129"/>
      <c r="N431" s="1128"/>
      <c r="O431" s="1128"/>
      <c r="P431" s="1129"/>
      <c r="Q431" s="1129"/>
      <c r="R431" s="1128"/>
      <c r="S431" s="1129"/>
      <c r="T431" s="1129"/>
      <c r="U431" s="1128"/>
      <c r="V431" s="1129"/>
      <c r="W431" s="1129"/>
    </row>
    <row r="432" spans="1:23" ht="14.25" hidden="1" customHeight="1">
      <c r="A432" s="1125">
        <v>4</v>
      </c>
      <c r="B432" s="1160" t="s">
        <v>825</v>
      </c>
      <c r="C432" s="1157" t="s">
        <v>923</v>
      </c>
      <c r="D432" s="1144" t="s">
        <v>924</v>
      </c>
      <c r="E432" s="1124" t="s">
        <v>733</v>
      </c>
      <c r="F432" s="1124" t="s">
        <v>925</v>
      </c>
      <c r="G432" s="1124" t="s">
        <v>909</v>
      </c>
      <c r="H432" s="691" t="s">
        <v>239</v>
      </c>
      <c r="I432" s="691" t="s">
        <v>239</v>
      </c>
      <c r="J432" s="1128">
        <f>K432+N432</f>
        <v>177985</v>
      </c>
      <c r="K432" s="1128">
        <f>L432+M432</f>
        <v>0</v>
      </c>
      <c r="L432" s="1129">
        <v>0</v>
      </c>
      <c r="M432" s="1129">
        <v>0</v>
      </c>
      <c r="N432" s="1128">
        <f>O432+R432+U432</f>
        <v>177985</v>
      </c>
      <c r="O432" s="1128">
        <f>P432+Q432</f>
        <v>177985</v>
      </c>
      <c r="P432" s="1129">
        <v>0</v>
      </c>
      <c r="Q432" s="1129">
        <v>177985</v>
      </c>
      <c r="R432" s="1128">
        <f>S432+T432</f>
        <v>0</v>
      </c>
      <c r="S432" s="1129">
        <v>0</v>
      </c>
      <c r="T432" s="1129">
        <v>0</v>
      </c>
      <c r="U432" s="1128">
        <f>V432+W432</f>
        <v>0</v>
      </c>
      <c r="V432" s="1129">
        <v>0</v>
      </c>
      <c r="W432" s="1129">
        <v>0</v>
      </c>
    </row>
    <row r="433" spans="1:23" ht="14.25" hidden="1" customHeight="1">
      <c r="A433" s="1125"/>
      <c r="B433" s="1160"/>
      <c r="C433" s="1158"/>
      <c r="D433" s="1144"/>
      <c r="E433" s="1124"/>
      <c r="F433" s="1124"/>
      <c r="G433" s="1124"/>
      <c r="H433" s="691" t="s">
        <v>239</v>
      </c>
      <c r="I433" s="691" t="s">
        <v>239</v>
      </c>
      <c r="J433" s="1128"/>
      <c r="K433" s="1128"/>
      <c r="L433" s="1129"/>
      <c r="M433" s="1129"/>
      <c r="N433" s="1128"/>
      <c r="O433" s="1128"/>
      <c r="P433" s="1129"/>
      <c r="Q433" s="1129"/>
      <c r="R433" s="1128"/>
      <c r="S433" s="1129"/>
      <c r="T433" s="1129"/>
      <c r="U433" s="1128"/>
      <c r="V433" s="1129"/>
      <c r="W433" s="1129"/>
    </row>
    <row r="434" spans="1:23" ht="14.25" hidden="1" customHeight="1">
      <c r="A434" s="1125"/>
      <c r="B434" s="1160"/>
      <c r="C434" s="1158"/>
      <c r="D434" s="1144"/>
      <c r="E434" s="1124"/>
      <c r="F434" s="1124"/>
      <c r="G434" s="1124"/>
      <c r="H434" s="691" t="s">
        <v>239</v>
      </c>
      <c r="I434" s="691" t="s">
        <v>239</v>
      </c>
      <c r="J434" s="693">
        <f>K434+N434</f>
        <v>0</v>
      </c>
      <c r="K434" s="693">
        <f>L434+M434</f>
        <v>0</v>
      </c>
      <c r="L434" s="694">
        <v>0</v>
      </c>
      <c r="M434" s="694">
        <v>0</v>
      </c>
      <c r="N434" s="693">
        <f>O434+R434+U434</f>
        <v>0</v>
      </c>
      <c r="O434" s="693">
        <f>P434+Q434</f>
        <v>0</v>
      </c>
      <c r="P434" s="694">
        <v>0</v>
      </c>
      <c r="Q434" s="694">
        <v>0</v>
      </c>
      <c r="R434" s="693">
        <f>S434+T434</f>
        <v>0</v>
      </c>
      <c r="S434" s="694">
        <v>0</v>
      </c>
      <c r="T434" s="694">
        <v>0</v>
      </c>
      <c r="U434" s="693">
        <f>V434+W434</f>
        <v>0</v>
      </c>
      <c r="V434" s="694">
        <v>0</v>
      </c>
      <c r="W434" s="694">
        <v>0</v>
      </c>
    </row>
    <row r="435" spans="1:23" ht="14.25" hidden="1" customHeight="1">
      <c r="A435" s="1125"/>
      <c r="B435" s="1160"/>
      <c r="C435" s="1158"/>
      <c r="D435" s="1144"/>
      <c r="E435" s="1124"/>
      <c r="F435" s="1124"/>
      <c r="G435" s="1124"/>
      <c r="H435" s="691" t="s">
        <v>239</v>
      </c>
      <c r="I435" s="691" t="s">
        <v>239</v>
      </c>
      <c r="J435" s="1128">
        <f t="shared" ref="J435:W435" si="88">J432+J434</f>
        <v>177985</v>
      </c>
      <c r="K435" s="1128">
        <f t="shared" si="88"/>
        <v>0</v>
      </c>
      <c r="L435" s="1129">
        <f t="shared" si="88"/>
        <v>0</v>
      </c>
      <c r="M435" s="1129">
        <f t="shared" si="88"/>
        <v>0</v>
      </c>
      <c r="N435" s="1128">
        <f t="shared" si="88"/>
        <v>177985</v>
      </c>
      <c r="O435" s="1128">
        <f t="shared" si="88"/>
        <v>177985</v>
      </c>
      <c r="P435" s="1129">
        <f t="shared" si="88"/>
        <v>0</v>
      </c>
      <c r="Q435" s="1129">
        <f t="shared" si="88"/>
        <v>177985</v>
      </c>
      <c r="R435" s="1128">
        <f t="shared" si="88"/>
        <v>0</v>
      </c>
      <c r="S435" s="1129">
        <f t="shared" si="88"/>
        <v>0</v>
      </c>
      <c r="T435" s="1129">
        <f t="shared" si="88"/>
        <v>0</v>
      </c>
      <c r="U435" s="1128">
        <f t="shared" si="88"/>
        <v>0</v>
      </c>
      <c r="V435" s="1129">
        <f t="shared" si="88"/>
        <v>0</v>
      </c>
      <c r="W435" s="1129">
        <f t="shared" si="88"/>
        <v>0</v>
      </c>
    </row>
    <row r="436" spans="1:23" ht="14.25" hidden="1" customHeight="1">
      <c r="A436" s="1125"/>
      <c r="B436" s="1160"/>
      <c r="C436" s="1159"/>
      <c r="D436" s="1144"/>
      <c r="E436" s="1124"/>
      <c r="F436" s="1124"/>
      <c r="G436" s="1124"/>
      <c r="H436" s="691" t="s">
        <v>239</v>
      </c>
      <c r="I436" s="691" t="s">
        <v>239</v>
      </c>
      <c r="J436" s="1128"/>
      <c r="K436" s="1128"/>
      <c r="L436" s="1129"/>
      <c r="M436" s="1129"/>
      <c r="N436" s="1128"/>
      <c r="O436" s="1128"/>
      <c r="P436" s="1129"/>
      <c r="Q436" s="1129"/>
      <c r="R436" s="1128"/>
      <c r="S436" s="1129"/>
      <c r="T436" s="1129"/>
      <c r="U436" s="1128"/>
      <c r="V436" s="1129"/>
      <c r="W436" s="1129"/>
    </row>
    <row r="437" spans="1:23" ht="14.25" customHeight="1">
      <c r="A437" s="1125">
        <v>6</v>
      </c>
      <c r="B437" s="1143" t="s">
        <v>926</v>
      </c>
      <c r="C437" s="1157" t="s">
        <v>920</v>
      </c>
      <c r="D437" s="1144" t="s">
        <v>927</v>
      </c>
      <c r="E437" s="1124" t="s">
        <v>733</v>
      </c>
      <c r="F437" s="1124" t="s">
        <v>922</v>
      </c>
      <c r="G437" s="1124" t="s">
        <v>909</v>
      </c>
      <c r="H437" s="691" t="s">
        <v>239</v>
      </c>
      <c r="I437" s="691" t="s">
        <v>239</v>
      </c>
      <c r="J437" s="1128">
        <f>K437+N437</f>
        <v>3275449</v>
      </c>
      <c r="K437" s="1128">
        <f>L437+M437</f>
        <v>0</v>
      </c>
      <c r="L437" s="1129">
        <v>0</v>
      </c>
      <c r="M437" s="1129">
        <v>0</v>
      </c>
      <c r="N437" s="1128">
        <f>O437+R437+U437</f>
        <v>3275449</v>
      </c>
      <c r="O437" s="1128">
        <f>P437+Q437</f>
        <v>3275449</v>
      </c>
      <c r="P437" s="1129">
        <v>9763</v>
      </c>
      <c r="Q437" s="1129">
        <v>3265686</v>
      </c>
      <c r="R437" s="1128">
        <f>S437+T437</f>
        <v>0</v>
      </c>
      <c r="S437" s="1129">
        <v>0</v>
      </c>
      <c r="T437" s="1129">
        <v>0</v>
      </c>
      <c r="U437" s="1128">
        <f>V437+W437</f>
        <v>0</v>
      </c>
      <c r="V437" s="1129">
        <v>0</v>
      </c>
      <c r="W437" s="1129">
        <v>0</v>
      </c>
    </row>
    <row r="438" spans="1:23" ht="14.25" customHeight="1">
      <c r="A438" s="1125"/>
      <c r="B438" s="1143"/>
      <c r="C438" s="1158"/>
      <c r="D438" s="1144"/>
      <c r="E438" s="1124"/>
      <c r="F438" s="1124"/>
      <c r="G438" s="1124"/>
      <c r="H438" s="691" t="s">
        <v>239</v>
      </c>
      <c r="I438" s="691" t="s">
        <v>239</v>
      </c>
      <c r="J438" s="1128"/>
      <c r="K438" s="1128"/>
      <c r="L438" s="1129"/>
      <c r="M438" s="1129"/>
      <c r="N438" s="1128"/>
      <c r="O438" s="1128"/>
      <c r="P438" s="1129"/>
      <c r="Q438" s="1129"/>
      <c r="R438" s="1128"/>
      <c r="S438" s="1129"/>
      <c r="T438" s="1129"/>
      <c r="U438" s="1128"/>
      <c r="V438" s="1129"/>
      <c r="W438" s="1129"/>
    </row>
    <row r="439" spans="1:23" ht="14.25" customHeight="1">
      <c r="A439" s="1125"/>
      <c r="B439" s="1143"/>
      <c r="C439" s="1158"/>
      <c r="D439" s="1144"/>
      <c r="E439" s="1124"/>
      <c r="F439" s="1124"/>
      <c r="G439" s="1124"/>
      <c r="H439" s="691" t="s">
        <v>239</v>
      </c>
      <c r="I439" s="691" t="s">
        <v>239</v>
      </c>
      <c r="J439" s="693">
        <f>K439+N439</f>
        <v>-2809163</v>
      </c>
      <c r="K439" s="693">
        <f>L439+M439</f>
        <v>0</v>
      </c>
      <c r="L439" s="694">
        <v>0</v>
      </c>
      <c r="M439" s="694">
        <v>0</v>
      </c>
      <c r="N439" s="693">
        <f>O439+R439+U439</f>
        <v>-2809163</v>
      </c>
      <c r="O439" s="693">
        <f>P439+Q439</f>
        <v>-2809163</v>
      </c>
      <c r="P439" s="694">
        <v>-7255</v>
      </c>
      <c r="Q439" s="694">
        <v>-2801908</v>
      </c>
      <c r="R439" s="693">
        <f>S439+T439</f>
        <v>0</v>
      </c>
      <c r="S439" s="694">
        <v>0</v>
      </c>
      <c r="T439" s="694">
        <v>0</v>
      </c>
      <c r="U439" s="693">
        <f>V439+W439</f>
        <v>0</v>
      </c>
      <c r="V439" s="694">
        <v>0</v>
      </c>
      <c r="W439" s="694">
        <v>0</v>
      </c>
    </row>
    <row r="440" spans="1:23" ht="14.25" customHeight="1">
      <c r="A440" s="1125"/>
      <c r="B440" s="1143"/>
      <c r="C440" s="1158"/>
      <c r="D440" s="1144"/>
      <c r="E440" s="1124"/>
      <c r="F440" s="1124"/>
      <c r="G440" s="1124"/>
      <c r="H440" s="691" t="s">
        <v>239</v>
      </c>
      <c r="I440" s="691" t="s">
        <v>239</v>
      </c>
      <c r="J440" s="1128">
        <f t="shared" ref="J440:W440" si="89">J437+J439</f>
        <v>466286</v>
      </c>
      <c r="K440" s="1128">
        <f t="shared" si="89"/>
        <v>0</v>
      </c>
      <c r="L440" s="1129">
        <f t="shared" si="89"/>
        <v>0</v>
      </c>
      <c r="M440" s="1129">
        <f t="shared" si="89"/>
        <v>0</v>
      </c>
      <c r="N440" s="1128">
        <f t="shared" si="89"/>
        <v>466286</v>
      </c>
      <c r="O440" s="1128">
        <f t="shared" si="89"/>
        <v>466286</v>
      </c>
      <c r="P440" s="1129">
        <f t="shared" si="89"/>
        <v>2508</v>
      </c>
      <c r="Q440" s="1129">
        <f t="shared" si="89"/>
        <v>463778</v>
      </c>
      <c r="R440" s="1128">
        <f t="shared" si="89"/>
        <v>0</v>
      </c>
      <c r="S440" s="1129">
        <f t="shared" si="89"/>
        <v>0</v>
      </c>
      <c r="T440" s="1129">
        <f t="shared" si="89"/>
        <v>0</v>
      </c>
      <c r="U440" s="1128">
        <f t="shared" si="89"/>
        <v>0</v>
      </c>
      <c r="V440" s="1129">
        <f t="shared" si="89"/>
        <v>0</v>
      </c>
      <c r="W440" s="1129">
        <f t="shared" si="89"/>
        <v>0</v>
      </c>
    </row>
    <row r="441" spans="1:23" ht="14.25" customHeight="1">
      <c r="A441" s="1125"/>
      <c r="B441" s="1143"/>
      <c r="C441" s="1159"/>
      <c r="D441" s="1144"/>
      <c r="E441" s="1124"/>
      <c r="F441" s="1124"/>
      <c r="G441" s="1124"/>
      <c r="H441" s="691" t="s">
        <v>239</v>
      </c>
      <c r="I441" s="691" t="s">
        <v>239</v>
      </c>
      <c r="J441" s="1128"/>
      <c r="K441" s="1128"/>
      <c r="L441" s="1129"/>
      <c r="M441" s="1129"/>
      <c r="N441" s="1128"/>
      <c r="O441" s="1128"/>
      <c r="P441" s="1129"/>
      <c r="Q441" s="1129"/>
      <c r="R441" s="1128"/>
      <c r="S441" s="1129"/>
      <c r="T441" s="1129"/>
      <c r="U441" s="1128"/>
      <c r="V441" s="1129"/>
      <c r="W441" s="1129"/>
    </row>
    <row r="442" spans="1:23" ht="14.25" customHeight="1">
      <c r="A442" s="1125">
        <v>7</v>
      </c>
      <c r="B442" s="1143" t="s">
        <v>928</v>
      </c>
      <c r="C442" s="1157" t="s">
        <v>929</v>
      </c>
      <c r="D442" s="1144" t="s">
        <v>930</v>
      </c>
      <c r="E442" s="1124" t="s">
        <v>733</v>
      </c>
      <c r="F442" s="1124" t="s">
        <v>922</v>
      </c>
      <c r="G442" s="1124" t="s">
        <v>909</v>
      </c>
      <c r="H442" s="691" t="s">
        <v>239</v>
      </c>
      <c r="I442" s="691" t="s">
        <v>239</v>
      </c>
      <c r="J442" s="1128">
        <f>K442+N442</f>
        <v>524539</v>
      </c>
      <c r="K442" s="1128">
        <f>L442+M442</f>
        <v>0</v>
      </c>
      <c r="L442" s="1129">
        <v>0</v>
      </c>
      <c r="M442" s="1129">
        <v>0</v>
      </c>
      <c r="N442" s="1128">
        <f>O442+R442+U442</f>
        <v>524539</v>
      </c>
      <c r="O442" s="1128">
        <f>P442+Q442</f>
        <v>524539</v>
      </c>
      <c r="P442" s="1129">
        <v>0</v>
      </c>
      <c r="Q442" s="1129">
        <v>524539</v>
      </c>
      <c r="R442" s="1128">
        <f>S442+T442</f>
        <v>0</v>
      </c>
      <c r="S442" s="1129">
        <v>0</v>
      </c>
      <c r="T442" s="1129">
        <v>0</v>
      </c>
      <c r="U442" s="1128">
        <f>V442+W442</f>
        <v>0</v>
      </c>
      <c r="V442" s="1129">
        <v>0</v>
      </c>
      <c r="W442" s="1129">
        <v>0</v>
      </c>
    </row>
    <row r="443" spans="1:23" ht="14.25" customHeight="1">
      <c r="A443" s="1125"/>
      <c r="B443" s="1143"/>
      <c r="C443" s="1158"/>
      <c r="D443" s="1144"/>
      <c r="E443" s="1124"/>
      <c r="F443" s="1124"/>
      <c r="G443" s="1124"/>
      <c r="H443" s="691" t="s">
        <v>239</v>
      </c>
      <c r="I443" s="691" t="s">
        <v>239</v>
      </c>
      <c r="J443" s="1128"/>
      <c r="K443" s="1128"/>
      <c r="L443" s="1129"/>
      <c r="M443" s="1129"/>
      <c r="N443" s="1128"/>
      <c r="O443" s="1128"/>
      <c r="P443" s="1129"/>
      <c r="Q443" s="1129"/>
      <c r="R443" s="1128"/>
      <c r="S443" s="1129"/>
      <c r="T443" s="1129"/>
      <c r="U443" s="1128"/>
      <c r="V443" s="1129"/>
      <c r="W443" s="1129"/>
    </row>
    <row r="444" spans="1:23" ht="14.25" customHeight="1">
      <c r="A444" s="1125"/>
      <c r="B444" s="1143"/>
      <c r="C444" s="1158"/>
      <c r="D444" s="1144"/>
      <c r="E444" s="1124"/>
      <c r="F444" s="1124"/>
      <c r="G444" s="1124"/>
      <c r="H444" s="691" t="s">
        <v>239</v>
      </c>
      <c r="I444" s="691" t="s">
        <v>239</v>
      </c>
      <c r="J444" s="693">
        <f>K444+N444</f>
        <v>-21434</v>
      </c>
      <c r="K444" s="693">
        <f>L444+M444</f>
        <v>0</v>
      </c>
      <c r="L444" s="694">
        <v>0</v>
      </c>
      <c r="M444" s="694">
        <v>0</v>
      </c>
      <c r="N444" s="693">
        <f>O444+R444+U444</f>
        <v>-21434</v>
      </c>
      <c r="O444" s="693">
        <f>P444+Q444</f>
        <v>-21434</v>
      </c>
      <c r="P444" s="694">
        <v>0</v>
      </c>
      <c r="Q444" s="694">
        <v>-21434</v>
      </c>
      <c r="R444" s="693">
        <f>S444+T444</f>
        <v>0</v>
      </c>
      <c r="S444" s="694">
        <v>0</v>
      </c>
      <c r="T444" s="694">
        <v>0</v>
      </c>
      <c r="U444" s="693">
        <f>V444+W444</f>
        <v>0</v>
      </c>
      <c r="V444" s="694">
        <v>0</v>
      </c>
      <c r="W444" s="694">
        <v>0</v>
      </c>
    </row>
    <row r="445" spans="1:23" ht="14.25" customHeight="1">
      <c r="A445" s="1125"/>
      <c r="B445" s="1143"/>
      <c r="C445" s="1158"/>
      <c r="D445" s="1144"/>
      <c r="E445" s="1124"/>
      <c r="F445" s="1124"/>
      <c r="G445" s="1124"/>
      <c r="H445" s="691" t="s">
        <v>239</v>
      </c>
      <c r="I445" s="691" t="s">
        <v>239</v>
      </c>
      <c r="J445" s="1128">
        <f t="shared" ref="J445:W445" si="90">J442+J444</f>
        <v>503105</v>
      </c>
      <c r="K445" s="1128">
        <f t="shared" si="90"/>
        <v>0</v>
      </c>
      <c r="L445" s="1129">
        <f t="shared" si="90"/>
        <v>0</v>
      </c>
      <c r="M445" s="1129">
        <f t="shared" si="90"/>
        <v>0</v>
      </c>
      <c r="N445" s="1128">
        <f t="shared" si="90"/>
        <v>503105</v>
      </c>
      <c r="O445" s="1128">
        <f t="shared" si="90"/>
        <v>503105</v>
      </c>
      <c r="P445" s="1129">
        <f t="shared" si="90"/>
        <v>0</v>
      </c>
      <c r="Q445" s="1129">
        <f t="shared" si="90"/>
        <v>503105</v>
      </c>
      <c r="R445" s="1128">
        <f t="shared" si="90"/>
        <v>0</v>
      </c>
      <c r="S445" s="1129">
        <f t="shared" si="90"/>
        <v>0</v>
      </c>
      <c r="T445" s="1129">
        <f t="shared" si="90"/>
        <v>0</v>
      </c>
      <c r="U445" s="1128">
        <f t="shared" si="90"/>
        <v>0</v>
      </c>
      <c r="V445" s="1129">
        <f t="shared" si="90"/>
        <v>0</v>
      </c>
      <c r="W445" s="1129">
        <f t="shared" si="90"/>
        <v>0</v>
      </c>
    </row>
    <row r="446" spans="1:23" ht="14.25" customHeight="1">
      <c r="A446" s="1125"/>
      <c r="B446" s="1143"/>
      <c r="C446" s="1159"/>
      <c r="D446" s="1144"/>
      <c r="E446" s="1124"/>
      <c r="F446" s="1124"/>
      <c r="G446" s="1124"/>
      <c r="H446" s="691" t="s">
        <v>239</v>
      </c>
      <c r="I446" s="691" t="s">
        <v>239</v>
      </c>
      <c r="J446" s="1128"/>
      <c r="K446" s="1128"/>
      <c r="L446" s="1129"/>
      <c r="M446" s="1129"/>
      <c r="N446" s="1128"/>
      <c r="O446" s="1128"/>
      <c r="P446" s="1129"/>
      <c r="Q446" s="1129"/>
      <c r="R446" s="1128"/>
      <c r="S446" s="1129"/>
      <c r="T446" s="1129"/>
      <c r="U446" s="1128"/>
      <c r="V446" s="1129"/>
      <c r="W446" s="1129"/>
    </row>
    <row r="447" spans="1:23" ht="14.25" customHeight="1">
      <c r="A447" s="1125">
        <v>8</v>
      </c>
      <c r="B447" s="1143" t="s">
        <v>931</v>
      </c>
      <c r="C447" s="1125">
        <v>102</v>
      </c>
      <c r="D447" s="1144" t="s">
        <v>932</v>
      </c>
      <c r="E447" s="1139" t="s">
        <v>849</v>
      </c>
      <c r="F447" s="1139" t="s">
        <v>866</v>
      </c>
      <c r="G447" s="1124" t="s">
        <v>909</v>
      </c>
      <c r="H447" s="691" t="s">
        <v>239</v>
      </c>
      <c r="I447" s="691" t="s">
        <v>239</v>
      </c>
      <c r="J447" s="1128">
        <f>K447+N447</f>
        <v>460036</v>
      </c>
      <c r="K447" s="1128">
        <f>L447+M447</f>
        <v>0</v>
      </c>
      <c r="L447" s="1129">
        <v>0</v>
      </c>
      <c r="M447" s="1129">
        <v>0</v>
      </c>
      <c r="N447" s="1128">
        <f>O447+R447+U447</f>
        <v>460036</v>
      </c>
      <c r="O447" s="1128">
        <f>P447+Q447</f>
        <v>460036</v>
      </c>
      <c r="P447" s="1129">
        <v>460036</v>
      </c>
      <c r="Q447" s="1129">
        <v>0</v>
      </c>
      <c r="R447" s="1128">
        <f>S447+T447</f>
        <v>0</v>
      </c>
      <c r="S447" s="1129">
        <v>0</v>
      </c>
      <c r="T447" s="1129">
        <v>0</v>
      </c>
      <c r="U447" s="1128">
        <f>V447+W447</f>
        <v>0</v>
      </c>
      <c r="V447" s="1129">
        <v>0</v>
      </c>
      <c r="W447" s="1129">
        <v>0</v>
      </c>
    </row>
    <row r="448" spans="1:23" ht="14.25" customHeight="1">
      <c r="A448" s="1125"/>
      <c r="B448" s="1143"/>
      <c r="C448" s="1125"/>
      <c r="D448" s="1144"/>
      <c r="E448" s="1140"/>
      <c r="F448" s="1140"/>
      <c r="G448" s="1124"/>
      <c r="H448" s="691" t="s">
        <v>239</v>
      </c>
      <c r="I448" s="691" t="s">
        <v>239</v>
      </c>
      <c r="J448" s="1128"/>
      <c r="K448" s="1128"/>
      <c r="L448" s="1129"/>
      <c r="M448" s="1129"/>
      <c r="N448" s="1128"/>
      <c r="O448" s="1128"/>
      <c r="P448" s="1129"/>
      <c r="Q448" s="1129"/>
      <c r="R448" s="1128"/>
      <c r="S448" s="1129"/>
      <c r="T448" s="1129"/>
      <c r="U448" s="1128"/>
      <c r="V448" s="1129"/>
      <c r="W448" s="1129"/>
    </row>
    <row r="449" spans="1:23" ht="14.25" customHeight="1">
      <c r="A449" s="1125"/>
      <c r="B449" s="1143"/>
      <c r="C449" s="1125"/>
      <c r="D449" s="1144"/>
      <c r="E449" s="1140"/>
      <c r="F449" s="1140"/>
      <c r="G449" s="1124"/>
      <c r="H449" s="691" t="s">
        <v>239</v>
      </c>
      <c r="I449" s="691" t="s">
        <v>239</v>
      </c>
      <c r="J449" s="693">
        <f>K449+N449</f>
        <v>-32036</v>
      </c>
      <c r="K449" s="693">
        <f>L449+M449</f>
        <v>0</v>
      </c>
      <c r="L449" s="694">
        <v>0</v>
      </c>
      <c r="M449" s="694">
        <v>0</v>
      </c>
      <c r="N449" s="693">
        <f>O449+R449+U449</f>
        <v>-32036</v>
      </c>
      <c r="O449" s="693">
        <f>P449+Q449</f>
        <v>-32036</v>
      </c>
      <c r="P449" s="694">
        <v>-32036</v>
      </c>
      <c r="Q449" s="694">
        <v>0</v>
      </c>
      <c r="R449" s="693">
        <f>S449+T449</f>
        <v>0</v>
      </c>
      <c r="S449" s="694">
        <v>0</v>
      </c>
      <c r="T449" s="694">
        <v>0</v>
      </c>
      <c r="U449" s="693">
        <f>V449+W449</f>
        <v>0</v>
      </c>
      <c r="V449" s="694">
        <v>0</v>
      </c>
      <c r="W449" s="694">
        <v>0</v>
      </c>
    </row>
    <row r="450" spans="1:23" ht="14.25" customHeight="1">
      <c r="A450" s="1125"/>
      <c r="B450" s="1143"/>
      <c r="C450" s="1125"/>
      <c r="D450" s="1144"/>
      <c r="E450" s="1140"/>
      <c r="F450" s="1140"/>
      <c r="G450" s="1124"/>
      <c r="H450" s="691" t="s">
        <v>239</v>
      </c>
      <c r="I450" s="691" t="s">
        <v>239</v>
      </c>
      <c r="J450" s="1128">
        <f t="shared" ref="J450:W450" si="91">J447+J449</f>
        <v>428000</v>
      </c>
      <c r="K450" s="1128">
        <f t="shared" si="91"/>
        <v>0</v>
      </c>
      <c r="L450" s="1129">
        <f t="shared" si="91"/>
        <v>0</v>
      </c>
      <c r="M450" s="1129">
        <f t="shared" si="91"/>
        <v>0</v>
      </c>
      <c r="N450" s="1128">
        <f t="shared" si="91"/>
        <v>428000</v>
      </c>
      <c r="O450" s="1128">
        <f t="shared" si="91"/>
        <v>428000</v>
      </c>
      <c r="P450" s="1129">
        <f t="shared" si="91"/>
        <v>428000</v>
      </c>
      <c r="Q450" s="1129">
        <f t="shared" si="91"/>
        <v>0</v>
      </c>
      <c r="R450" s="1128">
        <f t="shared" si="91"/>
        <v>0</v>
      </c>
      <c r="S450" s="1129">
        <f t="shared" si="91"/>
        <v>0</v>
      </c>
      <c r="T450" s="1129">
        <f t="shared" si="91"/>
        <v>0</v>
      </c>
      <c r="U450" s="1128">
        <f t="shared" si="91"/>
        <v>0</v>
      </c>
      <c r="V450" s="1129">
        <f t="shared" si="91"/>
        <v>0</v>
      </c>
      <c r="W450" s="1129">
        <f t="shared" si="91"/>
        <v>0</v>
      </c>
    </row>
    <row r="451" spans="1:23" ht="14.25" customHeight="1">
      <c r="A451" s="1125"/>
      <c r="B451" s="1143"/>
      <c r="C451" s="1125"/>
      <c r="D451" s="1144"/>
      <c r="E451" s="1141"/>
      <c r="F451" s="1141"/>
      <c r="G451" s="1124"/>
      <c r="H451" s="691" t="s">
        <v>239</v>
      </c>
      <c r="I451" s="691" t="s">
        <v>239</v>
      </c>
      <c r="J451" s="1128"/>
      <c r="K451" s="1128"/>
      <c r="L451" s="1129"/>
      <c r="M451" s="1129"/>
      <c r="N451" s="1128"/>
      <c r="O451" s="1128"/>
      <c r="P451" s="1129"/>
      <c r="Q451" s="1129"/>
      <c r="R451" s="1128"/>
      <c r="S451" s="1129"/>
      <c r="T451" s="1129"/>
      <c r="U451" s="1128"/>
      <c r="V451" s="1129"/>
      <c r="W451" s="1129"/>
    </row>
    <row r="452" spans="1:23" ht="15" customHeight="1">
      <c r="A452" s="1125">
        <v>9</v>
      </c>
      <c r="B452" s="1143" t="s">
        <v>933</v>
      </c>
      <c r="C452" s="1126" t="s">
        <v>934</v>
      </c>
      <c r="D452" s="1144" t="s">
        <v>935</v>
      </c>
      <c r="E452" s="1139" t="s">
        <v>849</v>
      </c>
      <c r="F452" s="1139" t="s">
        <v>866</v>
      </c>
      <c r="G452" s="1124" t="s">
        <v>909</v>
      </c>
      <c r="H452" s="691" t="s">
        <v>239</v>
      </c>
      <c r="I452" s="691" t="s">
        <v>239</v>
      </c>
      <c r="J452" s="1128">
        <f>K452+N452</f>
        <v>1506351</v>
      </c>
      <c r="K452" s="1128">
        <f>L452+M452</f>
        <v>0</v>
      </c>
      <c r="L452" s="1129">
        <v>0</v>
      </c>
      <c r="M452" s="1129">
        <v>0</v>
      </c>
      <c r="N452" s="1128">
        <f>O452+R452+U452</f>
        <v>1506351</v>
      </c>
      <c r="O452" s="1128">
        <f>P452+Q452</f>
        <v>1506351</v>
      </c>
      <c r="P452" s="1129">
        <v>1506351</v>
      </c>
      <c r="Q452" s="1129">
        <v>0</v>
      </c>
      <c r="R452" s="1128">
        <f>S452+T452</f>
        <v>0</v>
      </c>
      <c r="S452" s="1129">
        <v>0</v>
      </c>
      <c r="T452" s="1129">
        <v>0</v>
      </c>
      <c r="U452" s="1128">
        <f>V452+W452</f>
        <v>0</v>
      </c>
      <c r="V452" s="1129">
        <v>0</v>
      </c>
      <c r="W452" s="1129">
        <v>0</v>
      </c>
    </row>
    <row r="453" spans="1:23" ht="15" customHeight="1">
      <c r="A453" s="1125"/>
      <c r="B453" s="1143"/>
      <c r="C453" s="1126"/>
      <c r="D453" s="1144"/>
      <c r="E453" s="1140"/>
      <c r="F453" s="1140"/>
      <c r="G453" s="1124"/>
      <c r="H453" s="691" t="s">
        <v>239</v>
      </c>
      <c r="I453" s="691" t="s">
        <v>239</v>
      </c>
      <c r="J453" s="1128"/>
      <c r="K453" s="1128"/>
      <c r="L453" s="1129"/>
      <c r="M453" s="1129"/>
      <c r="N453" s="1128"/>
      <c r="O453" s="1128"/>
      <c r="P453" s="1129"/>
      <c r="Q453" s="1129"/>
      <c r="R453" s="1128"/>
      <c r="S453" s="1129"/>
      <c r="T453" s="1129"/>
      <c r="U453" s="1128"/>
      <c r="V453" s="1129"/>
      <c r="W453" s="1129"/>
    </row>
    <row r="454" spans="1:23" ht="15" customHeight="1">
      <c r="A454" s="1125"/>
      <c r="B454" s="1143"/>
      <c r="C454" s="1126"/>
      <c r="D454" s="1144"/>
      <c r="E454" s="1140"/>
      <c r="F454" s="1140"/>
      <c r="G454" s="1124"/>
      <c r="H454" s="691" t="s">
        <v>239</v>
      </c>
      <c r="I454" s="691" t="s">
        <v>239</v>
      </c>
      <c r="J454" s="693">
        <f>K454+N454</f>
        <v>-288351</v>
      </c>
      <c r="K454" s="693">
        <f>L454+M454</f>
        <v>0</v>
      </c>
      <c r="L454" s="694">
        <v>0</v>
      </c>
      <c r="M454" s="694">
        <v>0</v>
      </c>
      <c r="N454" s="693">
        <f>O454+R454+U454</f>
        <v>-288351</v>
      </c>
      <c r="O454" s="693">
        <f>P454+Q454</f>
        <v>-288351</v>
      </c>
      <c r="P454" s="694">
        <v>-288351</v>
      </c>
      <c r="Q454" s="694">
        <v>0</v>
      </c>
      <c r="R454" s="693">
        <f>S454+T454</f>
        <v>0</v>
      </c>
      <c r="S454" s="694">
        <v>0</v>
      </c>
      <c r="T454" s="694">
        <v>0</v>
      </c>
      <c r="U454" s="693">
        <f>V454+W454</f>
        <v>0</v>
      </c>
      <c r="V454" s="694">
        <v>0</v>
      </c>
      <c r="W454" s="694">
        <v>0</v>
      </c>
    </row>
    <row r="455" spans="1:23" ht="15" customHeight="1">
      <c r="A455" s="1125"/>
      <c r="B455" s="1143"/>
      <c r="C455" s="1126"/>
      <c r="D455" s="1144"/>
      <c r="E455" s="1140"/>
      <c r="F455" s="1140"/>
      <c r="G455" s="1124"/>
      <c r="H455" s="691" t="s">
        <v>239</v>
      </c>
      <c r="I455" s="691" t="s">
        <v>239</v>
      </c>
      <c r="J455" s="1128">
        <f t="shared" ref="J455:W455" si="92">J452+J454</f>
        <v>1218000</v>
      </c>
      <c r="K455" s="1128">
        <f t="shared" si="92"/>
        <v>0</v>
      </c>
      <c r="L455" s="1129">
        <f t="shared" si="92"/>
        <v>0</v>
      </c>
      <c r="M455" s="1129">
        <f t="shared" si="92"/>
        <v>0</v>
      </c>
      <c r="N455" s="1128">
        <f t="shared" si="92"/>
        <v>1218000</v>
      </c>
      <c r="O455" s="1128">
        <f t="shared" si="92"/>
        <v>1218000</v>
      </c>
      <c r="P455" s="1129">
        <f t="shared" si="92"/>
        <v>1218000</v>
      </c>
      <c r="Q455" s="1129">
        <f t="shared" si="92"/>
        <v>0</v>
      </c>
      <c r="R455" s="1128">
        <f t="shared" si="92"/>
        <v>0</v>
      </c>
      <c r="S455" s="1129">
        <f t="shared" si="92"/>
        <v>0</v>
      </c>
      <c r="T455" s="1129">
        <f t="shared" si="92"/>
        <v>0</v>
      </c>
      <c r="U455" s="1128">
        <f t="shared" si="92"/>
        <v>0</v>
      </c>
      <c r="V455" s="1129">
        <f t="shared" si="92"/>
        <v>0</v>
      </c>
      <c r="W455" s="1129">
        <f t="shared" si="92"/>
        <v>0</v>
      </c>
    </row>
    <row r="456" spans="1:23" ht="15" customHeight="1">
      <c r="A456" s="1125"/>
      <c r="B456" s="1143"/>
      <c r="C456" s="1126"/>
      <c r="D456" s="1144"/>
      <c r="E456" s="1141"/>
      <c r="F456" s="1141"/>
      <c r="G456" s="1124"/>
      <c r="H456" s="691" t="s">
        <v>239</v>
      </c>
      <c r="I456" s="691" t="s">
        <v>239</v>
      </c>
      <c r="J456" s="1128"/>
      <c r="K456" s="1128"/>
      <c r="L456" s="1129"/>
      <c r="M456" s="1129"/>
      <c r="N456" s="1128"/>
      <c r="O456" s="1128"/>
      <c r="P456" s="1129"/>
      <c r="Q456" s="1129"/>
      <c r="R456" s="1128"/>
      <c r="S456" s="1129"/>
      <c r="T456" s="1129"/>
      <c r="U456" s="1128"/>
      <c r="V456" s="1129"/>
      <c r="W456" s="1129"/>
    </row>
    <row r="457" spans="1:23" ht="15" customHeight="1">
      <c r="A457" s="1125">
        <v>10</v>
      </c>
      <c r="B457" s="1143" t="s">
        <v>936</v>
      </c>
      <c r="C457" s="1126" t="s">
        <v>937</v>
      </c>
      <c r="D457" s="1144" t="s">
        <v>938</v>
      </c>
      <c r="E457" s="1124" t="s">
        <v>243</v>
      </c>
      <c r="F457" s="1139" t="s">
        <v>893</v>
      </c>
      <c r="G457" s="1124" t="s">
        <v>909</v>
      </c>
      <c r="H457" s="691" t="s">
        <v>239</v>
      </c>
      <c r="I457" s="691" t="s">
        <v>239</v>
      </c>
      <c r="J457" s="1128">
        <f>K457+N457</f>
        <v>356351</v>
      </c>
      <c r="K457" s="1128">
        <f>L457+M457</f>
        <v>0</v>
      </c>
      <c r="L457" s="1129">
        <v>0</v>
      </c>
      <c r="M457" s="1129">
        <v>0</v>
      </c>
      <c r="N457" s="1128">
        <f>O457+R457+U457</f>
        <v>356351</v>
      </c>
      <c r="O457" s="1128">
        <f>P457+Q457</f>
        <v>356351</v>
      </c>
      <c r="P457" s="1129">
        <v>356351</v>
      </c>
      <c r="Q457" s="1129">
        <v>0</v>
      </c>
      <c r="R457" s="1128">
        <f>S457+T457</f>
        <v>0</v>
      </c>
      <c r="S457" s="1129">
        <v>0</v>
      </c>
      <c r="T457" s="1129">
        <v>0</v>
      </c>
      <c r="U457" s="1128">
        <f>V457+W457</f>
        <v>0</v>
      </c>
      <c r="V457" s="1129">
        <v>0</v>
      </c>
      <c r="W457" s="1129">
        <v>0</v>
      </c>
    </row>
    <row r="458" spans="1:23" ht="15" customHeight="1">
      <c r="A458" s="1125"/>
      <c r="B458" s="1143"/>
      <c r="C458" s="1126"/>
      <c r="D458" s="1144"/>
      <c r="E458" s="1124"/>
      <c r="F458" s="1140"/>
      <c r="G458" s="1124"/>
      <c r="H458" s="691" t="s">
        <v>239</v>
      </c>
      <c r="I458" s="691" t="s">
        <v>239</v>
      </c>
      <c r="J458" s="1128"/>
      <c r="K458" s="1128"/>
      <c r="L458" s="1129"/>
      <c r="M458" s="1129"/>
      <c r="N458" s="1128"/>
      <c r="O458" s="1128"/>
      <c r="P458" s="1129"/>
      <c r="Q458" s="1129"/>
      <c r="R458" s="1128"/>
      <c r="S458" s="1129"/>
      <c r="T458" s="1129"/>
      <c r="U458" s="1128"/>
      <c r="V458" s="1129"/>
      <c r="W458" s="1129"/>
    </row>
    <row r="459" spans="1:23" ht="15" customHeight="1">
      <c r="A459" s="1125"/>
      <c r="B459" s="1143"/>
      <c r="C459" s="1126"/>
      <c r="D459" s="1144"/>
      <c r="E459" s="1124"/>
      <c r="F459" s="1140"/>
      <c r="G459" s="1124"/>
      <c r="H459" s="691" t="s">
        <v>239</v>
      </c>
      <c r="I459" s="691" t="s">
        <v>239</v>
      </c>
      <c r="J459" s="693">
        <f>K459+N459</f>
        <v>-7965</v>
      </c>
      <c r="K459" s="693">
        <f>L459+M459</f>
        <v>0</v>
      </c>
      <c r="L459" s="694">
        <v>0</v>
      </c>
      <c r="M459" s="694">
        <v>0</v>
      </c>
      <c r="N459" s="693">
        <f>O459+R459+U459</f>
        <v>-7965</v>
      </c>
      <c r="O459" s="693">
        <f>P459+Q459</f>
        <v>-7965</v>
      </c>
      <c r="P459" s="694">
        <v>-7965</v>
      </c>
      <c r="Q459" s="694">
        <v>0</v>
      </c>
      <c r="R459" s="693">
        <f>S459+T459</f>
        <v>0</v>
      </c>
      <c r="S459" s="694">
        <v>0</v>
      </c>
      <c r="T459" s="694">
        <v>0</v>
      </c>
      <c r="U459" s="693">
        <f>V459+W459</f>
        <v>0</v>
      </c>
      <c r="V459" s="694">
        <v>0</v>
      </c>
      <c r="W459" s="694">
        <v>0</v>
      </c>
    </row>
    <row r="460" spans="1:23" ht="15" customHeight="1">
      <c r="A460" s="1125"/>
      <c r="B460" s="1143"/>
      <c r="C460" s="1126"/>
      <c r="D460" s="1144"/>
      <c r="E460" s="1124"/>
      <c r="F460" s="1140"/>
      <c r="G460" s="1124"/>
      <c r="H460" s="691" t="s">
        <v>239</v>
      </c>
      <c r="I460" s="691" t="s">
        <v>239</v>
      </c>
      <c r="J460" s="1128">
        <f t="shared" ref="J460:W460" si="93">J457+J459</f>
        <v>348386</v>
      </c>
      <c r="K460" s="1128">
        <f t="shared" si="93"/>
        <v>0</v>
      </c>
      <c r="L460" s="1129">
        <f t="shared" si="93"/>
        <v>0</v>
      </c>
      <c r="M460" s="1129">
        <f t="shared" si="93"/>
        <v>0</v>
      </c>
      <c r="N460" s="1128">
        <f t="shared" si="93"/>
        <v>348386</v>
      </c>
      <c r="O460" s="1128">
        <f t="shared" si="93"/>
        <v>348386</v>
      </c>
      <c r="P460" s="1129">
        <f t="shared" si="93"/>
        <v>348386</v>
      </c>
      <c r="Q460" s="1129">
        <f t="shared" si="93"/>
        <v>0</v>
      </c>
      <c r="R460" s="1128">
        <f t="shared" si="93"/>
        <v>0</v>
      </c>
      <c r="S460" s="1129">
        <f t="shared" si="93"/>
        <v>0</v>
      </c>
      <c r="T460" s="1129">
        <f t="shared" si="93"/>
        <v>0</v>
      </c>
      <c r="U460" s="1128">
        <f t="shared" si="93"/>
        <v>0</v>
      </c>
      <c r="V460" s="1129">
        <f t="shared" si="93"/>
        <v>0</v>
      </c>
      <c r="W460" s="1129">
        <f t="shared" si="93"/>
        <v>0</v>
      </c>
    </row>
    <row r="461" spans="1:23" ht="15" customHeight="1">
      <c r="A461" s="1125"/>
      <c r="B461" s="1143"/>
      <c r="C461" s="1126"/>
      <c r="D461" s="1144"/>
      <c r="E461" s="1124"/>
      <c r="F461" s="1141"/>
      <c r="G461" s="1124"/>
      <c r="H461" s="691" t="s">
        <v>239</v>
      </c>
      <c r="I461" s="691" t="s">
        <v>239</v>
      </c>
      <c r="J461" s="1128"/>
      <c r="K461" s="1128"/>
      <c r="L461" s="1129"/>
      <c r="M461" s="1129"/>
      <c r="N461" s="1128"/>
      <c r="O461" s="1128"/>
      <c r="P461" s="1129"/>
      <c r="Q461" s="1129"/>
      <c r="R461" s="1128"/>
      <c r="S461" s="1129"/>
      <c r="T461" s="1129"/>
      <c r="U461" s="1128"/>
      <c r="V461" s="1129"/>
      <c r="W461" s="1129"/>
    </row>
    <row r="462" spans="1:23" ht="15" customHeight="1">
      <c r="A462" s="1125">
        <v>11</v>
      </c>
      <c r="B462" s="1143" t="s">
        <v>841</v>
      </c>
      <c r="C462" s="1126" t="s">
        <v>842</v>
      </c>
      <c r="D462" s="1144" t="s">
        <v>939</v>
      </c>
      <c r="E462" s="1124" t="s">
        <v>243</v>
      </c>
      <c r="F462" s="1139" t="s">
        <v>857</v>
      </c>
      <c r="G462" s="1124" t="s">
        <v>909</v>
      </c>
      <c r="H462" s="691" t="s">
        <v>239</v>
      </c>
      <c r="I462" s="691" t="s">
        <v>239</v>
      </c>
      <c r="J462" s="1128">
        <f>K462+N462</f>
        <v>38563</v>
      </c>
      <c r="K462" s="1128">
        <f>L462+M462</f>
        <v>0</v>
      </c>
      <c r="L462" s="1129">
        <v>0</v>
      </c>
      <c r="M462" s="1129">
        <v>0</v>
      </c>
      <c r="N462" s="1128">
        <f>O462+R462+U462</f>
        <v>38563</v>
      </c>
      <c r="O462" s="1128">
        <f>P462+Q462</f>
        <v>38563</v>
      </c>
      <c r="P462" s="1129">
        <v>38563</v>
      </c>
      <c r="Q462" s="1129">
        <v>0</v>
      </c>
      <c r="R462" s="1128">
        <f>S462+T462</f>
        <v>0</v>
      </c>
      <c r="S462" s="1129">
        <v>0</v>
      </c>
      <c r="T462" s="1129">
        <v>0</v>
      </c>
      <c r="U462" s="1128">
        <f>V462+W462</f>
        <v>0</v>
      </c>
      <c r="V462" s="1129">
        <v>0</v>
      </c>
      <c r="W462" s="1129">
        <v>0</v>
      </c>
    </row>
    <row r="463" spans="1:23" ht="15" customHeight="1">
      <c r="A463" s="1125"/>
      <c r="B463" s="1143"/>
      <c r="C463" s="1126"/>
      <c r="D463" s="1144"/>
      <c r="E463" s="1124"/>
      <c r="F463" s="1140"/>
      <c r="G463" s="1124"/>
      <c r="H463" s="691" t="s">
        <v>239</v>
      </c>
      <c r="I463" s="691" t="s">
        <v>239</v>
      </c>
      <c r="J463" s="1128"/>
      <c r="K463" s="1128"/>
      <c r="L463" s="1129"/>
      <c r="M463" s="1129"/>
      <c r="N463" s="1128"/>
      <c r="O463" s="1128"/>
      <c r="P463" s="1129"/>
      <c r="Q463" s="1129"/>
      <c r="R463" s="1128"/>
      <c r="S463" s="1129"/>
      <c r="T463" s="1129"/>
      <c r="U463" s="1128"/>
      <c r="V463" s="1129"/>
      <c r="W463" s="1129"/>
    </row>
    <row r="464" spans="1:23" ht="15" customHeight="1">
      <c r="A464" s="1125"/>
      <c r="B464" s="1143"/>
      <c r="C464" s="1126"/>
      <c r="D464" s="1144"/>
      <c r="E464" s="1124"/>
      <c r="F464" s="1140"/>
      <c r="G464" s="1124"/>
      <c r="H464" s="691" t="s">
        <v>239</v>
      </c>
      <c r="I464" s="691" t="s">
        <v>239</v>
      </c>
      <c r="J464" s="693">
        <f>K464+N464</f>
        <v>-38563</v>
      </c>
      <c r="K464" s="693">
        <f>L464+M464</f>
        <v>0</v>
      </c>
      <c r="L464" s="694">
        <v>0</v>
      </c>
      <c r="M464" s="694">
        <v>0</v>
      </c>
      <c r="N464" s="693">
        <f>O464+R464+U464</f>
        <v>-38563</v>
      </c>
      <c r="O464" s="693">
        <f>P464+Q464</f>
        <v>-38563</v>
      </c>
      <c r="P464" s="694">
        <v>-38563</v>
      </c>
      <c r="Q464" s="694">
        <v>0</v>
      </c>
      <c r="R464" s="693">
        <f>S464+T464</f>
        <v>0</v>
      </c>
      <c r="S464" s="694">
        <v>0</v>
      </c>
      <c r="T464" s="694">
        <v>0</v>
      </c>
      <c r="U464" s="693">
        <f>V464+W464</f>
        <v>0</v>
      </c>
      <c r="V464" s="694">
        <v>0</v>
      </c>
      <c r="W464" s="694">
        <v>0</v>
      </c>
    </row>
    <row r="465" spans="1:23" ht="15" customHeight="1">
      <c r="A465" s="1125"/>
      <c r="B465" s="1143"/>
      <c r="C465" s="1126"/>
      <c r="D465" s="1144"/>
      <c r="E465" s="1124"/>
      <c r="F465" s="1140"/>
      <c r="G465" s="1124"/>
      <c r="H465" s="691" t="s">
        <v>239</v>
      </c>
      <c r="I465" s="691" t="s">
        <v>239</v>
      </c>
      <c r="J465" s="1128">
        <f t="shared" ref="J465:W465" si="94">J462+J464</f>
        <v>0</v>
      </c>
      <c r="K465" s="1128">
        <f t="shared" si="94"/>
        <v>0</v>
      </c>
      <c r="L465" s="1129">
        <f t="shared" si="94"/>
        <v>0</v>
      </c>
      <c r="M465" s="1129">
        <f t="shared" si="94"/>
        <v>0</v>
      </c>
      <c r="N465" s="1128">
        <f t="shared" si="94"/>
        <v>0</v>
      </c>
      <c r="O465" s="1128">
        <f t="shared" si="94"/>
        <v>0</v>
      </c>
      <c r="P465" s="1129">
        <f t="shared" si="94"/>
        <v>0</v>
      </c>
      <c r="Q465" s="1129">
        <f t="shared" si="94"/>
        <v>0</v>
      </c>
      <c r="R465" s="1128">
        <f t="shared" si="94"/>
        <v>0</v>
      </c>
      <c r="S465" s="1129">
        <f t="shared" si="94"/>
        <v>0</v>
      </c>
      <c r="T465" s="1129">
        <f t="shared" si="94"/>
        <v>0</v>
      </c>
      <c r="U465" s="1128">
        <f t="shared" si="94"/>
        <v>0</v>
      </c>
      <c r="V465" s="1129">
        <f t="shared" si="94"/>
        <v>0</v>
      </c>
      <c r="W465" s="1129">
        <f t="shared" si="94"/>
        <v>0</v>
      </c>
    </row>
    <row r="466" spans="1:23" ht="15" customHeight="1">
      <c r="A466" s="1125"/>
      <c r="B466" s="1143"/>
      <c r="C466" s="1126"/>
      <c r="D466" s="1144"/>
      <c r="E466" s="1124"/>
      <c r="F466" s="1141"/>
      <c r="G466" s="1124"/>
      <c r="H466" s="691" t="s">
        <v>239</v>
      </c>
      <c r="I466" s="691" t="s">
        <v>239</v>
      </c>
      <c r="J466" s="1128"/>
      <c r="K466" s="1128"/>
      <c r="L466" s="1129"/>
      <c r="M466" s="1129"/>
      <c r="N466" s="1128"/>
      <c r="O466" s="1128"/>
      <c r="P466" s="1129"/>
      <c r="Q466" s="1129"/>
      <c r="R466" s="1128"/>
      <c r="S466" s="1129"/>
      <c r="T466" s="1129"/>
      <c r="U466" s="1128"/>
      <c r="V466" s="1129"/>
      <c r="W466" s="1129"/>
    </row>
    <row r="467" spans="1:23" ht="13.5" hidden="1" customHeight="1">
      <c r="A467" s="1125">
        <v>6</v>
      </c>
      <c r="B467" s="1143" t="s">
        <v>940</v>
      </c>
      <c r="C467" s="1126" t="s">
        <v>941</v>
      </c>
      <c r="D467" s="1144" t="s">
        <v>942</v>
      </c>
      <c r="E467" s="1139" t="s">
        <v>849</v>
      </c>
      <c r="F467" s="1139" t="s">
        <v>866</v>
      </c>
      <c r="G467" s="1124" t="s">
        <v>909</v>
      </c>
      <c r="H467" s="691" t="s">
        <v>239</v>
      </c>
      <c r="I467" s="691" t="s">
        <v>239</v>
      </c>
      <c r="J467" s="1128">
        <f>K467+N467</f>
        <v>753128</v>
      </c>
      <c r="K467" s="1128">
        <f>L467+M467</f>
        <v>0</v>
      </c>
      <c r="L467" s="1129">
        <v>0</v>
      </c>
      <c r="M467" s="1129">
        <v>0</v>
      </c>
      <c r="N467" s="1128">
        <f>O467+R467+U467</f>
        <v>753128</v>
      </c>
      <c r="O467" s="1128">
        <f>P467+Q467</f>
        <v>753128</v>
      </c>
      <c r="P467" s="1129">
        <v>753128</v>
      </c>
      <c r="Q467" s="1129">
        <v>0</v>
      </c>
      <c r="R467" s="1128">
        <f>S467+T467</f>
        <v>0</v>
      </c>
      <c r="S467" s="1129">
        <v>0</v>
      </c>
      <c r="T467" s="1129">
        <v>0</v>
      </c>
      <c r="U467" s="1128">
        <f>V467+W467</f>
        <v>0</v>
      </c>
      <c r="V467" s="1129">
        <v>0</v>
      </c>
      <c r="W467" s="1129">
        <v>0</v>
      </c>
    </row>
    <row r="468" spans="1:23" ht="13.5" hidden="1" customHeight="1">
      <c r="A468" s="1125"/>
      <c r="B468" s="1143"/>
      <c r="C468" s="1126"/>
      <c r="D468" s="1144"/>
      <c r="E468" s="1140"/>
      <c r="F468" s="1140"/>
      <c r="G468" s="1124"/>
      <c r="H468" s="691" t="s">
        <v>239</v>
      </c>
      <c r="I468" s="691" t="s">
        <v>239</v>
      </c>
      <c r="J468" s="1128"/>
      <c r="K468" s="1128"/>
      <c r="L468" s="1129"/>
      <c r="M468" s="1129"/>
      <c r="N468" s="1128"/>
      <c r="O468" s="1128"/>
      <c r="P468" s="1129"/>
      <c r="Q468" s="1129"/>
      <c r="R468" s="1128"/>
      <c r="S468" s="1129"/>
      <c r="T468" s="1129"/>
      <c r="U468" s="1128"/>
      <c r="V468" s="1129"/>
      <c r="W468" s="1129"/>
    </row>
    <row r="469" spans="1:23" ht="15.75" hidden="1" customHeight="1">
      <c r="A469" s="1125"/>
      <c r="B469" s="1143"/>
      <c r="C469" s="1126"/>
      <c r="D469" s="1144"/>
      <c r="E469" s="1140"/>
      <c r="F469" s="1140"/>
      <c r="G469" s="1124"/>
      <c r="H469" s="691" t="s">
        <v>239</v>
      </c>
      <c r="I469" s="691" t="s">
        <v>239</v>
      </c>
      <c r="J469" s="693">
        <f>K469+N469</f>
        <v>0</v>
      </c>
      <c r="K469" s="693">
        <f>L469+M469</f>
        <v>0</v>
      </c>
      <c r="L469" s="694">
        <v>0</v>
      </c>
      <c r="M469" s="694">
        <v>0</v>
      </c>
      <c r="N469" s="693">
        <f>O469+R469+U469</f>
        <v>0</v>
      </c>
      <c r="O469" s="693">
        <f>P469+Q469</f>
        <v>0</v>
      </c>
      <c r="P469" s="694">
        <v>0</v>
      </c>
      <c r="Q469" s="694">
        <v>0</v>
      </c>
      <c r="R469" s="693">
        <f>S469+T469</f>
        <v>0</v>
      </c>
      <c r="S469" s="694">
        <v>0</v>
      </c>
      <c r="T469" s="694">
        <v>0</v>
      </c>
      <c r="U469" s="693">
        <f>V469+W469</f>
        <v>0</v>
      </c>
      <c r="V469" s="694">
        <v>0</v>
      </c>
      <c r="W469" s="694">
        <v>0</v>
      </c>
    </row>
    <row r="470" spans="1:23" ht="13.5" hidden="1" customHeight="1">
      <c r="A470" s="1125"/>
      <c r="B470" s="1143"/>
      <c r="C470" s="1126"/>
      <c r="D470" s="1144"/>
      <c r="E470" s="1140"/>
      <c r="F470" s="1140"/>
      <c r="G470" s="1124"/>
      <c r="H470" s="691" t="s">
        <v>239</v>
      </c>
      <c r="I470" s="691" t="s">
        <v>239</v>
      </c>
      <c r="J470" s="1128">
        <f t="shared" ref="J470:W470" si="95">J467+J469</f>
        <v>753128</v>
      </c>
      <c r="K470" s="1128">
        <f t="shared" si="95"/>
        <v>0</v>
      </c>
      <c r="L470" s="1129">
        <f t="shared" si="95"/>
        <v>0</v>
      </c>
      <c r="M470" s="1129">
        <f t="shared" si="95"/>
        <v>0</v>
      </c>
      <c r="N470" s="1128">
        <f t="shared" si="95"/>
        <v>753128</v>
      </c>
      <c r="O470" s="1128">
        <f t="shared" si="95"/>
        <v>753128</v>
      </c>
      <c r="P470" s="1129">
        <f t="shared" si="95"/>
        <v>753128</v>
      </c>
      <c r="Q470" s="1129">
        <f t="shared" si="95"/>
        <v>0</v>
      </c>
      <c r="R470" s="1128">
        <f t="shared" si="95"/>
        <v>0</v>
      </c>
      <c r="S470" s="1129">
        <f t="shared" si="95"/>
        <v>0</v>
      </c>
      <c r="T470" s="1129">
        <f t="shared" si="95"/>
        <v>0</v>
      </c>
      <c r="U470" s="1128">
        <f t="shared" si="95"/>
        <v>0</v>
      </c>
      <c r="V470" s="1129">
        <f t="shared" si="95"/>
        <v>0</v>
      </c>
      <c r="W470" s="1129">
        <f t="shared" si="95"/>
        <v>0</v>
      </c>
    </row>
    <row r="471" spans="1:23" ht="13.5" hidden="1" customHeight="1">
      <c r="A471" s="1125"/>
      <c r="B471" s="1143"/>
      <c r="C471" s="1126"/>
      <c r="D471" s="1144"/>
      <c r="E471" s="1141"/>
      <c r="F471" s="1141"/>
      <c r="G471" s="1124"/>
      <c r="H471" s="691" t="s">
        <v>239</v>
      </c>
      <c r="I471" s="691" t="s">
        <v>239</v>
      </c>
      <c r="J471" s="1128"/>
      <c r="K471" s="1128"/>
      <c r="L471" s="1129"/>
      <c r="M471" s="1129"/>
      <c r="N471" s="1128"/>
      <c r="O471" s="1128"/>
      <c r="P471" s="1129"/>
      <c r="Q471" s="1129"/>
      <c r="R471" s="1128"/>
      <c r="S471" s="1129"/>
      <c r="T471" s="1129"/>
      <c r="U471" s="1128"/>
      <c r="V471" s="1129"/>
      <c r="W471" s="1129"/>
    </row>
    <row r="472" spans="1:23" ht="13.5" customHeight="1">
      <c r="A472" s="1125">
        <v>12</v>
      </c>
      <c r="B472" s="1143" t="s">
        <v>845</v>
      </c>
      <c r="C472" s="1126" t="s">
        <v>846</v>
      </c>
      <c r="D472" s="1144" t="s">
        <v>943</v>
      </c>
      <c r="E472" s="1124" t="s">
        <v>243</v>
      </c>
      <c r="F472" s="1124" t="s">
        <v>944</v>
      </c>
      <c r="G472" s="1124" t="s">
        <v>909</v>
      </c>
      <c r="H472" s="691" t="s">
        <v>239</v>
      </c>
      <c r="I472" s="691" t="s">
        <v>239</v>
      </c>
      <c r="J472" s="1128">
        <f>K472+N472</f>
        <v>423988</v>
      </c>
      <c r="K472" s="1128">
        <f>L472+M472</f>
        <v>0</v>
      </c>
      <c r="L472" s="1129">
        <v>0</v>
      </c>
      <c r="M472" s="1129">
        <v>0</v>
      </c>
      <c r="N472" s="1128">
        <f>O472+R472+U472</f>
        <v>423988</v>
      </c>
      <c r="O472" s="1128">
        <f>P472+Q472</f>
        <v>423988</v>
      </c>
      <c r="P472" s="1129">
        <v>409500</v>
      </c>
      <c r="Q472" s="1129">
        <v>14488</v>
      </c>
      <c r="R472" s="1128">
        <f>S472+T472</f>
        <v>0</v>
      </c>
      <c r="S472" s="1129">
        <v>0</v>
      </c>
      <c r="T472" s="1129">
        <v>0</v>
      </c>
      <c r="U472" s="1128">
        <f>V472+W472</f>
        <v>0</v>
      </c>
      <c r="V472" s="1129">
        <v>0</v>
      </c>
      <c r="W472" s="1129">
        <v>0</v>
      </c>
    </row>
    <row r="473" spans="1:23" ht="13.5" customHeight="1">
      <c r="A473" s="1125"/>
      <c r="B473" s="1143"/>
      <c r="C473" s="1126"/>
      <c r="D473" s="1144"/>
      <c r="E473" s="1124"/>
      <c r="F473" s="1124"/>
      <c r="G473" s="1124"/>
      <c r="H473" s="691" t="s">
        <v>239</v>
      </c>
      <c r="I473" s="691" t="s">
        <v>239</v>
      </c>
      <c r="J473" s="1128"/>
      <c r="K473" s="1128"/>
      <c r="L473" s="1129"/>
      <c r="M473" s="1129"/>
      <c r="N473" s="1128"/>
      <c r="O473" s="1128"/>
      <c r="P473" s="1129"/>
      <c r="Q473" s="1129"/>
      <c r="R473" s="1128"/>
      <c r="S473" s="1129"/>
      <c r="T473" s="1129"/>
      <c r="U473" s="1128"/>
      <c r="V473" s="1129"/>
      <c r="W473" s="1129"/>
    </row>
    <row r="474" spans="1:23" ht="13.5" customHeight="1">
      <c r="A474" s="1125"/>
      <c r="B474" s="1143"/>
      <c r="C474" s="1126"/>
      <c r="D474" s="1144"/>
      <c r="E474" s="1124"/>
      <c r="F474" s="1124"/>
      <c r="G474" s="1124"/>
      <c r="H474" s="691" t="s">
        <v>239</v>
      </c>
      <c r="I474" s="691" t="s">
        <v>239</v>
      </c>
      <c r="J474" s="693">
        <f>K474+N474</f>
        <v>-146052</v>
      </c>
      <c r="K474" s="693">
        <f>L474+M474</f>
        <v>0</v>
      </c>
      <c r="L474" s="694">
        <v>0</v>
      </c>
      <c r="M474" s="694">
        <v>0</v>
      </c>
      <c r="N474" s="693">
        <f>O474+R474+U474</f>
        <v>-146052</v>
      </c>
      <c r="O474" s="693">
        <f>P474+Q474</f>
        <v>-146052</v>
      </c>
      <c r="P474" s="694">
        <v>-146052</v>
      </c>
      <c r="Q474" s="694">
        <v>0</v>
      </c>
      <c r="R474" s="693">
        <f>S474+T474</f>
        <v>0</v>
      </c>
      <c r="S474" s="694">
        <v>0</v>
      </c>
      <c r="T474" s="694">
        <v>0</v>
      </c>
      <c r="U474" s="693">
        <f>V474+W474</f>
        <v>0</v>
      </c>
      <c r="V474" s="694">
        <v>0</v>
      </c>
      <c r="W474" s="694">
        <v>0</v>
      </c>
    </row>
    <row r="475" spans="1:23" ht="13.5" customHeight="1">
      <c r="A475" s="1125"/>
      <c r="B475" s="1143"/>
      <c r="C475" s="1126"/>
      <c r="D475" s="1144"/>
      <c r="E475" s="1124"/>
      <c r="F475" s="1124"/>
      <c r="G475" s="1124"/>
      <c r="H475" s="691" t="s">
        <v>239</v>
      </c>
      <c r="I475" s="691" t="s">
        <v>239</v>
      </c>
      <c r="J475" s="1128">
        <f t="shared" ref="J475:W475" si="96">J472+J474</f>
        <v>277936</v>
      </c>
      <c r="K475" s="1128">
        <f t="shared" si="96"/>
        <v>0</v>
      </c>
      <c r="L475" s="1129">
        <f t="shared" si="96"/>
        <v>0</v>
      </c>
      <c r="M475" s="1129">
        <f t="shared" si="96"/>
        <v>0</v>
      </c>
      <c r="N475" s="1128">
        <f t="shared" si="96"/>
        <v>277936</v>
      </c>
      <c r="O475" s="1128">
        <f t="shared" si="96"/>
        <v>277936</v>
      </c>
      <c r="P475" s="1129">
        <f t="shared" si="96"/>
        <v>263448</v>
      </c>
      <c r="Q475" s="1129">
        <f t="shared" si="96"/>
        <v>14488</v>
      </c>
      <c r="R475" s="1128">
        <f t="shared" si="96"/>
        <v>0</v>
      </c>
      <c r="S475" s="1129">
        <f t="shared" si="96"/>
        <v>0</v>
      </c>
      <c r="T475" s="1129">
        <f t="shared" si="96"/>
        <v>0</v>
      </c>
      <c r="U475" s="1128">
        <f t="shared" si="96"/>
        <v>0</v>
      </c>
      <c r="V475" s="1129">
        <f t="shared" si="96"/>
        <v>0</v>
      </c>
      <c r="W475" s="1129">
        <f t="shared" si="96"/>
        <v>0</v>
      </c>
    </row>
    <row r="476" spans="1:23" ht="13.5" customHeight="1">
      <c r="A476" s="1125"/>
      <c r="B476" s="1143"/>
      <c r="C476" s="1126"/>
      <c r="D476" s="1144"/>
      <c r="E476" s="1124"/>
      <c r="F476" s="1124"/>
      <c r="G476" s="1124"/>
      <c r="H476" s="691" t="s">
        <v>239</v>
      </c>
      <c r="I476" s="691" t="s">
        <v>239</v>
      </c>
      <c r="J476" s="1128"/>
      <c r="K476" s="1128"/>
      <c r="L476" s="1129"/>
      <c r="M476" s="1129"/>
      <c r="N476" s="1128"/>
      <c r="O476" s="1128"/>
      <c r="P476" s="1129"/>
      <c r="Q476" s="1129"/>
      <c r="R476" s="1128"/>
      <c r="S476" s="1129"/>
      <c r="T476" s="1129"/>
      <c r="U476" s="1128"/>
      <c r="V476" s="1129"/>
      <c r="W476" s="1129"/>
    </row>
    <row r="477" spans="1:23" ht="14.25" customHeight="1">
      <c r="A477" s="1125">
        <v>13</v>
      </c>
      <c r="B477" s="1143" t="s">
        <v>945</v>
      </c>
      <c r="C477" s="1126" t="s">
        <v>846</v>
      </c>
      <c r="D477" s="1144" t="s">
        <v>946</v>
      </c>
      <c r="E477" s="1124" t="s">
        <v>243</v>
      </c>
      <c r="F477" s="1124" t="s">
        <v>947</v>
      </c>
      <c r="G477" s="1124" t="s">
        <v>909</v>
      </c>
      <c r="H477" s="691" t="s">
        <v>239</v>
      </c>
      <c r="I477" s="691" t="s">
        <v>239</v>
      </c>
      <c r="J477" s="1128">
        <f>K477+N477</f>
        <v>810000</v>
      </c>
      <c r="K477" s="1128">
        <f>L477+M477</f>
        <v>0</v>
      </c>
      <c r="L477" s="1129">
        <v>0</v>
      </c>
      <c r="M477" s="1129">
        <v>0</v>
      </c>
      <c r="N477" s="1128">
        <f>O477+R477+U477</f>
        <v>810000</v>
      </c>
      <c r="O477" s="1128">
        <f>P477+Q477</f>
        <v>810000</v>
      </c>
      <c r="P477" s="1129">
        <v>810000</v>
      </c>
      <c r="Q477" s="1129">
        <v>0</v>
      </c>
      <c r="R477" s="1128">
        <f>S477+T477</f>
        <v>0</v>
      </c>
      <c r="S477" s="1129">
        <v>0</v>
      </c>
      <c r="T477" s="1129">
        <v>0</v>
      </c>
      <c r="U477" s="1128">
        <f>V477+W477</f>
        <v>0</v>
      </c>
      <c r="V477" s="1129">
        <v>0</v>
      </c>
      <c r="W477" s="1129">
        <v>0</v>
      </c>
    </row>
    <row r="478" spans="1:23" ht="14.25" customHeight="1">
      <c r="A478" s="1125"/>
      <c r="B478" s="1143"/>
      <c r="C478" s="1126"/>
      <c r="D478" s="1144"/>
      <c r="E478" s="1124"/>
      <c r="F478" s="1124"/>
      <c r="G478" s="1124"/>
      <c r="H478" s="691" t="s">
        <v>239</v>
      </c>
      <c r="I478" s="691" t="s">
        <v>239</v>
      </c>
      <c r="J478" s="1128"/>
      <c r="K478" s="1128"/>
      <c r="L478" s="1129"/>
      <c r="M478" s="1129"/>
      <c r="N478" s="1128"/>
      <c r="O478" s="1128"/>
      <c r="P478" s="1129"/>
      <c r="Q478" s="1129"/>
      <c r="R478" s="1128"/>
      <c r="S478" s="1129"/>
      <c r="T478" s="1129"/>
      <c r="U478" s="1128"/>
      <c r="V478" s="1129"/>
      <c r="W478" s="1129"/>
    </row>
    <row r="479" spans="1:23" ht="14.25" customHeight="1">
      <c r="A479" s="1125"/>
      <c r="B479" s="1143"/>
      <c r="C479" s="1126"/>
      <c r="D479" s="1144"/>
      <c r="E479" s="1124"/>
      <c r="F479" s="1124"/>
      <c r="G479" s="1124"/>
      <c r="H479" s="691" t="s">
        <v>239</v>
      </c>
      <c r="I479" s="691" t="s">
        <v>239</v>
      </c>
      <c r="J479" s="693">
        <f>K479+N479</f>
        <v>-522817</v>
      </c>
      <c r="K479" s="693">
        <f>L479+M479</f>
        <v>0</v>
      </c>
      <c r="L479" s="694">
        <v>0</v>
      </c>
      <c r="M479" s="694">
        <v>0</v>
      </c>
      <c r="N479" s="693">
        <f>O479+R479+U479</f>
        <v>-522817</v>
      </c>
      <c r="O479" s="693">
        <f>P479+Q479</f>
        <v>-522817</v>
      </c>
      <c r="P479" s="694">
        <v>-522817</v>
      </c>
      <c r="Q479" s="694">
        <v>0</v>
      </c>
      <c r="R479" s="693">
        <f>S479+T479</f>
        <v>0</v>
      </c>
      <c r="S479" s="694">
        <v>0</v>
      </c>
      <c r="T479" s="694">
        <v>0</v>
      </c>
      <c r="U479" s="693">
        <f>V479+W479</f>
        <v>0</v>
      </c>
      <c r="V479" s="694">
        <v>0</v>
      </c>
      <c r="W479" s="694">
        <v>0</v>
      </c>
    </row>
    <row r="480" spans="1:23" ht="14.25" customHeight="1">
      <c r="A480" s="1125"/>
      <c r="B480" s="1143"/>
      <c r="C480" s="1126"/>
      <c r="D480" s="1144"/>
      <c r="E480" s="1124"/>
      <c r="F480" s="1124"/>
      <c r="G480" s="1124"/>
      <c r="H480" s="691" t="s">
        <v>239</v>
      </c>
      <c r="I480" s="691" t="s">
        <v>239</v>
      </c>
      <c r="J480" s="1128">
        <f t="shared" ref="J480:W480" si="97">J477+J479</f>
        <v>287183</v>
      </c>
      <c r="K480" s="1128">
        <f t="shared" si="97"/>
        <v>0</v>
      </c>
      <c r="L480" s="1129">
        <f t="shared" si="97"/>
        <v>0</v>
      </c>
      <c r="M480" s="1129">
        <f t="shared" si="97"/>
        <v>0</v>
      </c>
      <c r="N480" s="1128">
        <f t="shared" si="97"/>
        <v>287183</v>
      </c>
      <c r="O480" s="1128">
        <f t="shared" si="97"/>
        <v>287183</v>
      </c>
      <c r="P480" s="1129">
        <f t="shared" si="97"/>
        <v>287183</v>
      </c>
      <c r="Q480" s="1129">
        <f t="shared" si="97"/>
        <v>0</v>
      </c>
      <c r="R480" s="1128">
        <f t="shared" si="97"/>
        <v>0</v>
      </c>
      <c r="S480" s="1129">
        <f t="shared" si="97"/>
        <v>0</v>
      </c>
      <c r="T480" s="1129">
        <f t="shared" si="97"/>
        <v>0</v>
      </c>
      <c r="U480" s="1128">
        <f t="shared" si="97"/>
        <v>0</v>
      </c>
      <c r="V480" s="1129">
        <f t="shared" si="97"/>
        <v>0</v>
      </c>
      <c r="W480" s="1129">
        <f t="shared" si="97"/>
        <v>0</v>
      </c>
    </row>
    <row r="481" spans="1:23" ht="14.25" customHeight="1">
      <c r="A481" s="1125"/>
      <c r="B481" s="1143"/>
      <c r="C481" s="1126"/>
      <c r="D481" s="1144"/>
      <c r="E481" s="1124"/>
      <c r="F481" s="1124"/>
      <c r="G481" s="1124"/>
      <c r="H481" s="691" t="s">
        <v>239</v>
      </c>
      <c r="I481" s="691" t="s">
        <v>239</v>
      </c>
      <c r="J481" s="1128"/>
      <c r="K481" s="1128"/>
      <c r="L481" s="1129"/>
      <c r="M481" s="1129"/>
      <c r="N481" s="1128"/>
      <c r="O481" s="1128"/>
      <c r="P481" s="1129"/>
      <c r="Q481" s="1129"/>
      <c r="R481" s="1128"/>
      <c r="S481" s="1129"/>
      <c r="T481" s="1129"/>
      <c r="U481" s="1128"/>
      <c r="V481" s="1129"/>
      <c r="W481" s="1129"/>
    </row>
    <row r="482" spans="1:23" ht="14.25" customHeight="1">
      <c r="A482" s="1125">
        <v>14</v>
      </c>
      <c r="B482" s="1143" t="s">
        <v>948</v>
      </c>
      <c r="C482" s="1126" t="s">
        <v>860</v>
      </c>
      <c r="D482" s="1144" t="s">
        <v>949</v>
      </c>
      <c r="E482" s="1124" t="s">
        <v>243</v>
      </c>
      <c r="F482" s="1124" t="s">
        <v>950</v>
      </c>
      <c r="G482" s="1124" t="s">
        <v>909</v>
      </c>
      <c r="H482" s="691" t="s">
        <v>239</v>
      </c>
      <c r="I482" s="691" t="s">
        <v>239</v>
      </c>
      <c r="J482" s="1128">
        <f>K482+N482</f>
        <v>115000</v>
      </c>
      <c r="K482" s="1128">
        <f>L482+M482</f>
        <v>0</v>
      </c>
      <c r="L482" s="1129">
        <v>0</v>
      </c>
      <c r="M482" s="1129">
        <v>0</v>
      </c>
      <c r="N482" s="1128">
        <f>O482+R482+U482</f>
        <v>115000</v>
      </c>
      <c r="O482" s="1128">
        <f>P482+Q482</f>
        <v>115000</v>
      </c>
      <c r="P482" s="1129">
        <v>115000</v>
      </c>
      <c r="Q482" s="1129">
        <v>0</v>
      </c>
      <c r="R482" s="1128">
        <f>S482+T482</f>
        <v>0</v>
      </c>
      <c r="S482" s="1129">
        <v>0</v>
      </c>
      <c r="T482" s="1129">
        <v>0</v>
      </c>
      <c r="U482" s="1128">
        <f>V482+W482</f>
        <v>0</v>
      </c>
      <c r="V482" s="1129">
        <v>0</v>
      </c>
      <c r="W482" s="1129">
        <v>0</v>
      </c>
    </row>
    <row r="483" spans="1:23" ht="14.25" customHeight="1">
      <c r="A483" s="1125"/>
      <c r="B483" s="1143"/>
      <c r="C483" s="1126"/>
      <c r="D483" s="1144"/>
      <c r="E483" s="1124"/>
      <c r="F483" s="1124"/>
      <c r="G483" s="1124"/>
      <c r="H483" s="691" t="s">
        <v>239</v>
      </c>
      <c r="I483" s="691" t="s">
        <v>239</v>
      </c>
      <c r="J483" s="1128"/>
      <c r="K483" s="1128"/>
      <c r="L483" s="1129"/>
      <c r="M483" s="1129"/>
      <c r="N483" s="1128"/>
      <c r="O483" s="1128"/>
      <c r="P483" s="1129"/>
      <c r="Q483" s="1129"/>
      <c r="R483" s="1128"/>
      <c r="S483" s="1129"/>
      <c r="T483" s="1129"/>
      <c r="U483" s="1128"/>
      <c r="V483" s="1129"/>
      <c r="W483" s="1129"/>
    </row>
    <row r="484" spans="1:23" ht="14.25" customHeight="1">
      <c r="A484" s="1125"/>
      <c r="B484" s="1143"/>
      <c r="C484" s="1126"/>
      <c r="D484" s="1144"/>
      <c r="E484" s="1124"/>
      <c r="F484" s="1124"/>
      <c r="G484" s="1124"/>
      <c r="H484" s="691" t="s">
        <v>239</v>
      </c>
      <c r="I484" s="691" t="s">
        <v>239</v>
      </c>
      <c r="J484" s="693">
        <f>K484+N484</f>
        <v>-44876</v>
      </c>
      <c r="K484" s="693">
        <f>L484+M484</f>
        <v>0</v>
      </c>
      <c r="L484" s="694">
        <v>0</v>
      </c>
      <c r="M484" s="694">
        <v>0</v>
      </c>
      <c r="N484" s="693">
        <f>O484+R484+U484</f>
        <v>-44876</v>
      </c>
      <c r="O484" s="693">
        <f>P484+Q484</f>
        <v>-44876</v>
      </c>
      <c r="P484" s="694">
        <v>-44876</v>
      </c>
      <c r="Q484" s="694">
        <v>0</v>
      </c>
      <c r="R484" s="693">
        <f>S484+T484</f>
        <v>0</v>
      </c>
      <c r="S484" s="694">
        <v>0</v>
      </c>
      <c r="T484" s="694">
        <v>0</v>
      </c>
      <c r="U484" s="693">
        <f>V484+W484</f>
        <v>0</v>
      </c>
      <c r="V484" s="694">
        <v>0</v>
      </c>
      <c r="W484" s="694">
        <v>0</v>
      </c>
    </row>
    <row r="485" spans="1:23" ht="14.25" customHeight="1">
      <c r="A485" s="1125"/>
      <c r="B485" s="1143"/>
      <c r="C485" s="1126"/>
      <c r="D485" s="1144"/>
      <c r="E485" s="1124"/>
      <c r="F485" s="1124"/>
      <c r="G485" s="1124"/>
      <c r="H485" s="691" t="s">
        <v>239</v>
      </c>
      <c r="I485" s="691" t="s">
        <v>239</v>
      </c>
      <c r="J485" s="1128">
        <f t="shared" ref="J485:W485" si="98">J482+J484</f>
        <v>70124</v>
      </c>
      <c r="K485" s="1128">
        <f t="shared" si="98"/>
        <v>0</v>
      </c>
      <c r="L485" s="1129">
        <f t="shared" si="98"/>
        <v>0</v>
      </c>
      <c r="M485" s="1129">
        <f t="shared" si="98"/>
        <v>0</v>
      </c>
      <c r="N485" s="1128">
        <f t="shared" si="98"/>
        <v>70124</v>
      </c>
      <c r="O485" s="1128">
        <f t="shared" si="98"/>
        <v>70124</v>
      </c>
      <c r="P485" s="1129">
        <f t="shared" si="98"/>
        <v>70124</v>
      </c>
      <c r="Q485" s="1129">
        <f t="shared" si="98"/>
        <v>0</v>
      </c>
      <c r="R485" s="1128">
        <f t="shared" si="98"/>
        <v>0</v>
      </c>
      <c r="S485" s="1129">
        <f t="shared" si="98"/>
        <v>0</v>
      </c>
      <c r="T485" s="1129">
        <f t="shared" si="98"/>
        <v>0</v>
      </c>
      <c r="U485" s="1128">
        <f t="shared" si="98"/>
        <v>0</v>
      </c>
      <c r="V485" s="1129">
        <f t="shared" si="98"/>
        <v>0</v>
      </c>
      <c r="W485" s="1129">
        <f t="shared" si="98"/>
        <v>0</v>
      </c>
    </row>
    <row r="486" spans="1:23" ht="14.25" customHeight="1">
      <c r="A486" s="1125"/>
      <c r="B486" s="1143"/>
      <c r="C486" s="1126"/>
      <c r="D486" s="1144"/>
      <c r="E486" s="1124"/>
      <c r="F486" s="1124"/>
      <c r="G486" s="1124"/>
      <c r="H486" s="691" t="s">
        <v>239</v>
      </c>
      <c r="I486" s="691" t="s">
        <v>239</v>
      </c>
      <c r="J486" s="1128"/>
      <c r="K486" s="1128"/>
      <c r="L486" s="1129"/>
      <c r="M486" s="1129"/>
      <c r="N486" s="1128"/>
      <c r="O486" s="1128"/>
      <c r="P486" s="1129"/>
      <c r="Q486" s="1129"/>
      <c r="R486" s="1128"/>
      <c r="S486" s="1129"/>
      <c r="T486" s="1129"/>
      <c r="U486" s="1128"/>
      <c r="V486" s="1129"/>
      <c r="W486" s="1129"/>
    </row>
    <row r="487" spans="1:23" ht="14.25" customHeight="1">
      <c r="A487" s="1125">
        <v>15</v>
      </c>
      <c r="B487" s="1143" t="s">
        <v>680</v>
      </c>
      <c r="C487" s="1126" t="s">
        <v>855</v>
      </c>
      <c r="D487" s="1144" t="s">
        <v>951</v>
      </c>
      <c r="E487" s="1124" t="s">
        <v>243</v>
      </c>
      <c r="F487" s="1124" t="s">
        <v>952</v>
      </c>
      <c r="G487" s="1124" t="s">
        <v>909</v>
      </c>
      <c r="H487" s="691" t="s">
        <v>239</v>
      </c>
      <c r="I487" s="691" t="s">
        <v>239</v>
      </c>
      <c r="J487" s="1128">
        <f>K487+N487</f>
        <v>122032</v>
      </c>
      <c r="K487" s="1128">
        <f>L487+M487</f>
        <v>0</v>
      </c>
      <c r="L487" s="1129">
        <v>0</v>
      </c>
      <c r="M487" s="1129">
        <v>0</v>
      </c>
      <c r="N487" s="1128">
        <f>O487+R487+U487</f>
        <v>122032</v>
      </c>
      <c r="O487" s="1128">
        <f>P487+Q487</f>
        <v>122032</v>
      </c>
      <c r="P487" s="1129">
        <v>122032</v>
      </c>
      <c r="Q487" s="1129">
        <v>0</v>
      </c>
      <c r="R487" s="1128">
        <f>S487+T487</f>
        <v>0</v>
      </c>
      <c r="S487" s="1129">
        <v>0</v>
      </c>
      <c r="T487" s="1129">
        <v>0</v>
      </c>
      <c r="U487" s="1128">
        <f>V487+W487</f>
        <v>0</v>
      </c>
      <c r="V487" s="1129">
        <v>0</v>
      </c>
      <c r="W487" s="1129">
        <v>0</v>
      </c>
    </row>
    <row r="488" spans="1:23" ht="14.25" customHeight="1">
      <c r="A488" s="1125"/>
      <c r="B488" s="1143"/>
      <c r="C488" s="1126"/>
      <c r="D488" s="1144"/>
      <c r="E488" s="1124"/>
      <c r="F488" s="1124"/>
      <c r="G488" s="1124"/>
      <c r="H488" s="691" t="s">
        <v>239</v>
      </c>
      <c r="I488" s="691" t="s">
        <v>239</v>
      </c>
      <c r="J488" s="1128"/>
      <c r="K488" s="1128"/>
      <c r="L488" s="1129"/>
      <c r="M488" s="1129"/>
      <c r="N488" s="1128"/>
      <c r="O488" s="1128"/>
      <c r="P488" s="1129"/>
      <c r="Q488" s="1129"/>
      <c r="R488" s="1128"/>
      <c r="S488" s="1129"/>
      <c r="T488" s="1129"/>
      <c r="U488" s="1128"/>
      <c r="V488" s="1129"/>
      <c r="W488" s="1129"/>
    </row>
    <row r="489" spans="1:23" ht="14.25" customHeight="1">
      <c r="A489" s="1125"/>
      <c r="B489" s="1143"/>
      <c r="C489" s="1126"/>
      <c r="D489" s="1144"/>
      <c r="E489" s="1124"/>
      <c r="F489" s="1124"/>
      <c r="G489" s="1124"/>
      <c r="H489" s="691" t="s">
        <v>239</v>
      </c>
      <c r="I489" s="691" t="s">
        <v>239</v>
      </c>
      <c r="J489" s="693">
        <f>K489+N489</f>
        <v>-122032</v>
      </c>
      <c r="K489" s="693">
        <f>L489+M489</f>
        <v>0</v>
      </c>
      <c r="L489" s="694">
        <v>0</v>
      </c>
      <c r="M489" s="694">
        <v>0</v>
      </c>
      <c r="N489" s="693">
        <f>O489+R489+U489</f>
        <v>-122032</v>
      </c>
      <c r="O489" s="693">
        <f>P489+Q489</f>
        <v>-122032</v>
      </c>
      <c r="P489" s="694">
        <v>-122032</v>
      </c>
      <c r="Q489" s="694">
        <v>0</v>
      </c>
      <c r="R489" s="693">
        <f>S489+T489</f>
        <v>0</v>
      </c>
      <c r="S489" s="694">
        <v>0</v>
      </c>
      <c r="T489" s="694">
        <v>0</v>
      </c>
      <c r="U489" s="693">
        <f>V489+W489</f>
        <v>0</v>
      </c>
      <c r="V489" s="694">
        <v>0</v>
      </c>
      <c r="W489" s="694">
        <v>0</v>
      </c>
    </row>
    <row r="490" spans="1:23" ht="14.25" customHeight="1">
      <c r="A490" s="1125"/>
      <c r="B490" s="1143"/>
      <c r="C490" s="1126"/>
      <c r="D490" s="1144"/>
      <c r="E490" s="1124"/>
      <c r="F490" s="1124"/>
      <c r="G490" s="1124"/>
      <c r="H490" s="691" t="s">
        <v>239</v>
      </c>
      <c r="I490" s="691" t="s">
        <v>239</v>
      </c>
      <c r="J490" s="1128">
        <f t="shared" ref="J490:W490" si="99">J487+J489</f>
        <v>0</v>
      </c>
      <c r="K490" s="1128">
        <f t="shared" si="99"/>
        <v>0</v>
      </c>
      <c r="L490" s="1129">
        <f t="shared" si="99"/>
        <v>0</v>
      </c>
      <c r="M490" s="1129">
        <f t="shared" si="99"/>
        <v>0</v>
      </c>
      <c r="N490" s="1128">
        <f t="shared" si="99"/>
        <v>0</v>
      </c>
      <c r="O490" s="1128">
        <f t="shared" si="99"/>
        <v>0</v>
      </c>
      <c r="P490" s="1129">
        <f t="shared" si="99"/>
        <v>0</v>
      </c>
      <c r="Q490" s="1129">
        <f t="shared" si="99"/>
        <v>0</v>
      </c>
      <c r="R490" s="1128">
        <f t="shared" si="99"/>
        <v>0</v>
      </c>
      <c r="S490" s="1129">
        <f t="shared" si="99"/>
        <v>0</v>
      </c>
      <c r="T490" s="1129">
        <f t="shared" si="99"/>
        <v>0</v>
      </c>
      <c r="U490" s="1128">
        <f t="shared" si="99"/>
        <v>0</v>
      </c>
      <c r="V490" s="1129">
        <f t="shared" si="99"/>
        <v>0</v>
      </c>
      <c r="W490" s="1129">
        <f t="shared" si="99"/>
        <v>0</v>
      </c>
    </row>
    <row r="491" spans="1:23" ht="14.25" customHeight="1">
      <c r="A491" s="1125"/>
      <c r="B491" s="1143"/>
      <c r="C491" s="1126"/>
      <c r="D491" s="1144"/>
      <c r="E491" s="1124"/>
      <c r="F491" s="1124"/>
      <c r="G491" s="1124"/>
      <c r="H491" s="691" t="s">
        <v>239</v>
      </c>
      <c r="I491" s="691" t="s">
        <v>239</v>
      </c>
      <c r="J491" s="1128"/>
      <c r="K491" s="1128"/>
      <c r="L491" s="1129"/>
      <c r="M491" s="1129"/>
      <c r="N491" s="1128"/>
      <c r="O491" s="1128"/>
      <c r="P491" s="1129"/>
      <c r="Q491" s="1129"/>
      <c r="R491" s="1128"/>
      <c r="S491" s="1129"/>
      <c r="T491" s="1129"/>
      <c r="U491" s="1128"/>
      <c r="V491" s="1129"/>
      <c r="W491" s="1129"/>
    </row>
    <row r="492" spans="1:23" ht="13.5" customHeight="1">
      <c r="A492" s="1130">
        <v>16</v>
      </c>
      <c r="B492" s="1150" t="s">
        <v>859</v>
      </c>
      <c r="C492" s="1133" t="s">
        <v>860</v>
      </c>
      <c r="D492" s="1153" t="s">
        <v>953</v>
      </c>
      <c r="E492" s="1139" t="s">
        <v>243</v>
      </c>
      <c r="F492" s="1139" t="s">
        <v>944</v>
      </c>
      <c r="G492" s="1139" t="s">
        <v>909</v>
      </c>
      <c r="H492" s="691" t="s">
        <v>239</v>
      </c>
      <c r="I492" s="691" t="s">
        <v>239</v>
      </c>
      <c r="J492" s="1128">
        <f>K492+N492</f>
        <v>956089</v>
      </c>
      <c r="K492" s="1128">
        <f>L492+M492</f>
        <v>0</v>
      </c>
      <c r="L492" s="1129">
        <v>0</v>
      </c>
      <c r="M492" s="1129">
        <v>0</v>
      </c>
      <c r="N492" s="1128">
        <f>O492+R492+U492</f>
        <v>956089</v>
      </c>
      <c r="O492" s="1128">
        <f>P492+Q492</f>
        <v>956089</v>
      </c>
      <c r="P492" s="1129">
        <v>935000</v>
      </c>
      <c r="Q492" s="1129">
        <v>21089</v>
      </c>
      <c r="R492" s="1128">
        <f>S492+T492</f>
        <v>0</v>
      </c>
      <c r="S492" s="1129">
        <v>0</v>
      </c>
      <c r="T492" s="1129">
        <v>0</v>
      </c>
      <c r="U492" s="1128">
        <f>V492+W492</f>
        <v>0</v>
      </c>
      <c r="V492" s="1129">
        <v>0</v>
      </c>
      <c r="W492" s="1129">
        <v>0</v>
      </c>
    </row>
    <row r="493" spans="1:23" ht="13.5" customHeight="1">
      <c r="A493" s="1131"/>
      <c r="B493" s="1151"/>
      <c r="C493" s="1134"/>
      <c r="D493" s="1154"/>
      <c r="E493" s="1140"/>
      <c r="F493" s="1140"/>
      <c r="G493" s="1140"/>
      <c r="H493" s="691" t="s">
        <v>239</v>
      </c>
      <c r="I493" s="691" t="s">
        <v>239</v>
      </c>
      <c r="J493" s="1128"/>
      <c r="K493" s="1128"/>
      <c r="L493" s="1129"/>
      <c r="M493" s="1129"/>
      <c r="N493" s="1128"/>
      <c r="O493" s="1128"/>
      <c r="P493" s="1129"/>
      <c r="Q493" s="1129"/>
      <c r="R493" s="1128"/>
      <c r="S493" s="1129"/>
      <c r="T493" s="1129"/>
      <c r="U493" s="1128"/>
      <c r="V493" s="1129"/>
      <c r="W493" s="1129"/>
    </row>
    <row r="494" spans="1:23" ht="13.5" customHeight="1">
      <c r="A494" s="1131"/>
      <c r="B494" s="1151"/>
      <c r="C494" s="1134"/>
      <c r="D494" s="1154"/>
      <c r="E494" s="1140"/>
      <c r="F494" s="1140"/>
      <c r="G494" s="1140"/>
      <c r="H494" s="691" t="s">
        <v>239</v>
      </c>
      <c r="I494" s="691" t="s">
        <v>239</v>
      </c>
      <c r="J494" s="693">
        <f>K494+N494</f>
        <v>-504259</v>
      </c>
      <c r="K494" s="693">
        <f>L494+M494</f>
        <v>0</v>
      </c>
      <c r="L494" s="694">
        <v>0</v>
      </c>
      <c r="M494" s="694">
        <v>0</v>
      </c>
      <c r="N494" s="693">
        <f>O494+R494+U494</f>
        <v>-504259</v>
      </c>
      <c r="O494" s="693">
        <f>P494+Q494</f>
        <v>-504259</v>
      </c>
      <c r="P494" s="694">
        <v>-504259</v>
      </c>
      <c r="Q494" s="694">
        <v>0</v>
      </c>
      <c r="R494" s="693">
        <f>S494+T494</f>
        <v>0</v>
      </c>
      <c r="S494" s="694">
        <v>0</v>
      </c>
      <c r="T494" s="694">
        <v>0</v>
      </c>
      <c r="U494" s="693">
        <f>V494+W494</f>
        <v>0</v>
      </c>
      <c r="V494" s="694">
        <v>0</v>
      </c>
      <c r="W494" s="694">
        <v>0</v>
      </c>
    </row>
    <row r="495" spans="1:23" ht="13.5" customHeight="1">
      <c r="A495" s="1131"/>
      <c r="B495" s="1151"/>
      <c r="C495" s="1134"/>
      <c r="D495" s="1154"/>
      <c r="E495" s="1140"/>
      <c r="F495" s="1140"/>
      <c r="G495" s="1140"/>
      <c r="H495" s="691" t="s">
        <v>239</v>
      </c>
      <c r="I495" s="691" t="s">
        <v>239</v>
      </c>
      <c r="J495" s="1128">
        <f t="shared" ref="J495:W495" si="100">J492+J494</f>
        <v>451830</v>
      </c>
      <c r="K495" s="1128">
        <f t="shared" si="100"/>
        <v>0</v>
      </c>
      <c r="L495" s="1129">
        <f t="shared" si="100"/>
        <v>0</v>
      </c>
      <c r="M495" s="1129">
        <f t="shared" si="100"/>
        <v>0</v>
      </c>
      <c r="N495" s="1128">
        <f t="shared" si="100"/>
        <v>451830</v>
      </c>
      <c r="O495" s="1128">
        <f t="shared" si="100"/>
        <v>451830</v>
      </c>
      <c r="P495" s="1129">
        <f t="shared" si="100"/>
        <v>430741</v>
      </c>
      <c r="Q495" s="1129">
        <f t="shared" si="100"/>
        <v>21089</v>
      </c>
      <c r="R495" s="1128">
        <f t="shared" si="100"/>
        <v>0</v>
      </c>
      <c r="S495" s="1129">
        <f t="shared" si="100"/>
        <v>0</v>
      </c>
      <c r="T495" s="1129">
        <f t="shared" si="100"/>
        <v>0</v>
      </c>
      <c r="U495" s="1128">
        <f t="shared" si="100"/>
        <v>0</v>
      </c>
      <c r="V495" s="1129">
        <f t="shared" si="100"/>
        <v>0</v>
      </c>
      <c r="W495" s="1129">
        <f t="shared" si="100"/>
        <v>0</v>
      </c>
    </row>
    <row r="496" spans="1:23" ht="13.5" customHeight="1">
      <c r="A496" s="1132"/>
      <c r="B496" s="1152"/>
      <c r="C496" s="1135"/>
      <c r="D496" s="1155"/>
      <c r="E496" s="1141"/>
      <c r="F496" s="1141"/>
      <c r="G496" s="1141"/>
      <c r="H496" s="691" t="s">
        <v>239</v>
      </c>
      <c r="I496" s="691" t="s">
        <v>239</v>
      </c>
      <c r="J496" s="1128"/>
      <c r="K496" s="1128"/>
      <c r="L496" s="1129"/>
      <c r="M496" s="1129"/>
      <c r="N496" s="1128"/>
      <c r="O496" s="1128"/>
      <c r="P496" s="1129"/>
      <c r="Q496" s="1129"/>
      <c r="R496" s="1128"/>
      <c r="S496" s="1129"/>
      <c r="T496" s="1129"/>
      <c r="U496" s="1128"/>
      <c r="V496" s="1129"/>
      <c r="W496" s="1129"/>
    </row>
    <row r="497" spans="1:23" ht="13.5" customHeight="1">
      <c r="A497" s="1125">
        <v>17</v>
      </c>
      <c r="B497" s="1143" t="s">
        <v>864</v>
      </c>
      <c r="C497" s="1126" t="s">
        <v>860</v>
      </c>
      <c r="D497" s="1144" t="s">
        <v>954</v>
      </c>
      <c r="E497" s="1124" t="s">
        <v>243</v>
      </c>
      <c r="F497" s="1124" t="s">
        <v>952</v>
      </c>
      <c r="G497" s="1124" t="s">
        <v>909</v>
      </c>
      <c r="H497" s="691" t="s">
        <v>239</v>
      </c>
      <c r="I497" s="691" t="s">
        <v>239</v>
      </c>
      <c r="J497" s="1128">
        <f>K497+N497</f>
        <v>3807811</v>
      </c>
      <c r="K497" s="1128">
        <f>L497+M497</f>
        <v>0</v>
      </c>
      <c r="L497" s="1129">
        <v>0</v>
      </c>
      <c r="M497" s="1129">
        <v>0</v>
      </c>
      <c r="N497" s="1128">
        <f>O497+R497+U497</f>
        <v>3807811</v>
      </c>
      <c r="O497" s="1128">
        <f>P497+Q497</f>
        <v>3807811</v>
      </c>
      <c r="P497" s="1129">
        <v>3603284</v>
      </c>
      <c r="Q497" s="1129">
        <v>204527</v>
      </c>
      <c r="R497" s="1128">
        <f>S497+T497</f>
        <v>0</v>
      </c>
      <c r="S497" s="1129">
        <v>0</v>
      </c>
      <c r="T497" s="1129">
        <v>0</v>
      </c>
      <c r="U497" s="1128">
        <f>V497+W497</f>
        <v>0</v>
      </c>
      <c r="V497" s="1129">
        <v>0</v>
      </c>
      <c r="W497" s="1129">
        <v>0</v>
      </c>
    </row>
    <row r="498" spans="1:23" ht="13.5" customHeight="1">
      <c r="A498" s="1125"/>
      <c r="B498" s="1143"/>
      <c r="C498" s="1126"/>
      <c r="D498" s="1144"/>
      <c r="E498" s="1124"/>
      <c r="F498" s="1124"/>
      <c r="G498" s="1124"/>
      <c r="H498" s="691" t="s">
        <v>239</v>
      </c>
      <c r="I498" s="691" t="s">
        <v>239</v>
      </c>
      <c r="J498" s="1128"/>
      <c r="K498" s="1128"/>
      <c r="L498" s="1129"/>
      <c r="M498" s="1129"/>
      <c r="N498" s="1128"/>
      <c r="O498" s="1128"/>
      <c r="P498" s="1129"/>
      <c r="Q498" s="1129"/>
      <c r="R498" s="1128"/>
      <c r="S498" s="1129"/>
      <c r="T498" s="1129"/>
      <c r="U498" s="1128"/>
      <c r="V498" s="1129"/>
      <c r="W498" s="1129"/>
    </row>
    <row r="499" spans="1:23" ht="13.5" customHeight="1">
      <c r="A499" s="1125"/>
      <c r="B499" s="1143"/>
      <c r="C499" s="1126"/>
      <c r="D499" s="1144"/>
      <c r="E499" s="1124"/>
      <c r="F499" s="1124"/>
      <c r="G499" s="1124"/>
      <c r="H499" s="691" t="s">
        <v>239</v>
      </c>
      <c r="I499" s="691" t="s">
        <v>239</v>
      </c>
      <c r="J499" s="693">
        <f>K499+N499</f>
        <v>1166483</v>
      </c>
      <c r="K499" s="693">
        <f>L499+M499</f>
        <v>0</v>
      </c>
      <c r="L499" s="694">
        <v>0</v>
      </c>
      <c r="M499" s="694">
        <v>0</v>
      </c>
      <c r="N499" s="693">
        <f>O499+R499+U499</f>
        <v>1166483</v>
      </c>
      <c r="O499" s="693">
        <f>P499+Q499</f>
        <v>1166483</v>
      </c>
      <c r="P499" s="694">
        <v>1030169</v>
      </c>
      <c r="Q499" s="694">
        <v>136314</v>
      </c>
      <c r="R499" s="693">
        <f>S499+T499</f>
        <v>0</v>
      </c>
      <c r="S499" s="694">
        <v>0</v>
      </c>
      <c r="T499" s="694">
        <v>0</v>
      </c>
      <c r="U499" s="693">
        <f>V499+W499</f>
        <v>0</v>
      </c>
      <c r="V499" s="694">
        <v>0</v>
      </c>
      <c r="W499" s="694">
        <v>0</v>
      </c>
    </row>
    <row r="500" spans="1:23" ht="13.5" customHeight="1">
      <c r="A500" s="1125"/>
      <c r="B500" s="1143"/>
      <c r="C500" s="1126"/>
      <c r="D500" s="1144"/>
      <c r="E500" s="1124"/>
      <c r="F500" s="1124"/>
      <c r="G500" s="1124"/>
      <c r="H500" s="691" t="s">
        <v>239</v>
      </c>
      <c r="I500" s="691" t="s">
        <v>239</v>
      </c>
      <c r="J500" s="1128">
        <f t="shared" ref="J500:W500" si="101">J497+J499</f>
        <v>4974294</v>
      </c>
      <c r="K500" s="1128">
        <f t="shared" si="101"/>
        <v>0</v>
      </c>
      <c r="L500" s="1129">
        <f t="shared" si="101"/>
        <v>0</v>
      </c>
      <c r="M500" s="1129">
        <f t="shared" si="101"/>
        <v>0</v>
      </c>
      <c r="N500" s="1128">
        <f t="shared" si="101"/>
        <v>4974294</v>
      </c>
      <c r="O500" s="1128">
        <f t="shared" si="101"/>
        <v>4974294</v>
      </c>
      <c r="P500" s="1129">
        <f t="shared" si="101"/>
        <v>4633453</v>
      </c>
      <c r="Q500" s="1129">
        <f t="shared" si="101"/>
        <v>340841</v>
      </c>
      <c r="R500" s="1128">
        <f t="shared" si="101"/>
        <v>0</v>
      </c>
      <c r="S500" s="1129">
        <f t="shared" si="101"/>
        <v>0</v>
      </c>
      <c r="T500" s="1129">
        <f t="shared" si="101"/>
        <v>0</v>
      </c>
      <c r="U500" s="1128">
        <f t="shared" si="101"/>
        <v>0</v>
      </c>
      <c r="V500" s="1129">
        <f t="shared" si="101"/>
        <v>0</v>
      </c>
      <c r="W500" s="1129">
        <f t="shared" si="101"/>
        <v>0</v>
      </c>
    </row>
    <row r="501" spans="1:23" ht="13.5" customHeight="1">
      <c r="A501" s="1125"/>
      <c r="B501" s="1143"/>
      <c r="C501" s="1126"/>
      <c r="D501" s="1144"/>
      <c r="E501" s="1124"/>
      <c r="F501" s="1124"/>
      <c r="G501" s="1124"/>
      <c r="H501" s="691" t="s">
        <v>239</v>
      </c>
      <c r="I501" s="691" t="s">
        <v>239</v>
      </c>
      <c r="J501" s="1128"/>
      <c r="K501" s="1128"/>
      <c r="L501" s="1129"/>
      <c r="M501" s="1129"/>
      <c r="N501" s="1128"/>
      <c r="O501" s="1128"/>
      <c r="P501" s="1129"/>
      <c r="Q501" s="1129"/>
      <c r="R501" s="1128"/>
      <c r="S501" s="1129"/>
      <c r="T501" s="1129"/>
      <c r="U501" s="1128"/>
      <c r="V501" s="1129"/>
      <c r="W501" s="1129"/>
    </row>
    <row r="502" spans="1:23" ht="13.5" customHeight="1">
      <c r="A502" s="1125">
        <v>18</v>
      </c>
      <c r="B502" s="1143" t="s">
        <v>955</v>
      </c>
      <c r="C502" s="1126" t="s">
        <v>871</v>
      </c>
      <c r="D502" s="1144" t="s">
        <v>956</v>
      </c>
      <c r="E502" s="1124" t="s">
        <v>243</v>
      </c>
      <c r="F502" s="1124" t="s">
        <v>957</v>
      </c>
      <c r="G502" s="1124" t="s">
        <v>909</v>
      </c>
      <c r="H502" s="691" t="s">
        <v>239</v>
      </c>
      <c r="I502" s="691" t="s">
        <v>239</v>
      </c>
      <c r="J502" s="1128">
        <f>K502+N502</f>
        <v>1500000</v>
      </c>
      <c r="K502" s="1128">
        <f>L502+M502</f>
        <v>0</v>
      </c>
      <c r="L502" s="1129">
        <v>0</v>
      </c>
      <c r="M502" s="1129">
        <v>0</v>
      </c>
      <c r="N502" s="1128">
        <f>O502+R502+U502</f>
        <v>1500000</v>
      </c>
      <c r="O502" s="1128">
        <f>P502+Q502</f>
        <v>1500000</v>
      </c>
      <c r="P502" s="1129">
        <v>1500000</v>
      </c>
      <c r="Q502" s="1129">
        <v>0</v>
      </c>
      <c r="R502" s="1128">
        <f>S502+T502</f>
        <v>0</v>
      </c>
      <c r="S502" s="1129">
        <v>0</v>
      </c>
      <c r="T502" s="1129">
        <v>0</v>
      </c>
      <c r="U502" s="1128">
        <f>V502+W502</f>
        <v>0</v>
      </c>
      <c r="V502" s="1129">
        <v>0</v>
      </c>
      <c r="W502" s="1129">
        <v>0</v>
      </c>
    </row>
    <row r="503" spans="1:23" ht="13.5" customHeight="1">
      <c r="A503" s="1125"/>
      <c r="B503" s="1143"/>
      <c r="C503" s="1126"/>
      <c r="D503" s="1144"/>
      <c r="E503" s="1124"/>
      <c r="F503" s="1124"/>
      <c r="G503" s="1124"/>
      <c r="H503" s="691" t="s">
        <v>239</v>
      </c>
      <c r="I503" s="691" t="s">
        <v>239</v>
      </c>
      <c r="J503" s="1128"/>
      <c r="K503" s="1128"/>
      <c r="L503" s="1129"/>
      <c r="M503" s="1129"/>
      <c r="N503" s="1128"/>
      <c r="O503" s="1128"/>
      <c r="P503" s="1129"/>
      <c r="Q503" s="1129"/>
      <c r="R503" s="1128"/>
      <c r="S503" s="1129"/>
      <c r="T503" s="1129"/>
      <c r="U503" s="1128"/>
      <c r="V503" s="1129"/>
      <c r="W503" s="1129"/>
    </row>
    <row r="504" spans="1:23" ht="13.5" customHeight="1">
      <c r="A504" s="1125"/>
      <c r="B504" s="1143"/>
      <c r="C504" s="1126"/>
      <c r="D504" s="1144"/>
      <c r="E504" s="1124"/>
      <c r="F504" s="1124"/>
      <c r="G504" s="1124"/>
      <c r="H504" s="691" t="s">
        <v>239</v>
      </c>
      <c r="I504" s="691" t="s">
        <v>239</v>
      </c>
      <c r="J504" s="693">
        <f>K504+N504</f>
        <v>197000</v>
      </c>
      <c r="K504" s="693">
        <f>L504+M504</f>
        <v>0</v>
      </c>
      <c r="L504" s="694">
        <v>0</v>
      </c>
      <c r="M504" s="694">
        <v>0</v>
      </c>
      <c r="N504" s="693">
        <f>O504+R504+U504</f>
        <v>197000</v>
      </c>
      <c r="O504" s="693">
        <f>P504+Q504</f>
        <v>197000</v>
      </c>
      <c r="P504" s="694">
        <v>197000</v>
      </c>
      <c r="Q504" s="694">
        <v>0</v>
      </c>
      <c r="R504" s="693">
        <f>S504+T504</f>
        <v>0</v>
      </c>
      <c r="S504" s="694">
        <v>0</v>
      </c>
      <c r="T504" s="694">
        <v>0</v>
      </c>
      <c r="U504" s="693">
        <f>V504+W504</f>
        <v>0</v>
      </c>
      <c r="V504" s="694">
        <v>0</v>
      </c>
      <c r="W504" s="694">
        <v>0</v>
      </c>
    </row>
    <row r="505" spans="1:23" ht="13.5" customHeight="1">
      <c r="A505" s="1125"/>
      <c r="B505" s="1143"/>
      <c r="C505" s="1126"/>
      <c r="D505" s="1144"/>
      <c r="E505" s="1124"/>
      <c r="F505" s="1124"/>
      <c r="G505" s="1124"/>
      <c r="H505" s="691" t="s">
        <v>239</v>
      </c>
      <c r="I505" s="691" t="s">
        <v>239</v>
      </c>
      <c r="J505" s="1128">
        <f t="shared" ref="J505:W505" si="102">J502+J504</f>
        <v>1697000</v>
      </c>
      <c r="K505" s="1128">
        <f t="shared" si="102"/>
        <v>0</v>
      </c>
      <c r="L505" s="1129">
        <f t="shared" si="102"/>
        <v>0</v>
      </c>
      <c r="M505" s="1129">
        <f t="shared" si="102"/>
        <v>0</v>
      </c>
      <c r="N505" s="1128">
        <f t="shared" si="102"/>
        <v>1697000</v>
      </c>
      <c r="O505" s="1128">
        <f t="shared" si="102"/>
        <v>1697000</v>
      </c>
      <c r="P505" s="1129">
        <f t="shared" si="102"/>
        <v>1697000</v>
      </c>
      <c r="Q505" s="1129">
        <f t="shared" si="102"/>
        <v>0</v>
      </c>
      <c r="R505" s="1128">
        <f t="shared" si="102"/>
        <v>0</v>
      </c>
      <c r="S505" s="1129">
        <f t="shared" si="102"/>
        <v>0</v>
      </c>
      <c r="T505" s="1129">
        <f t="shared" si="102"/>
        <v>0</v>
      </c>
      <c r="U505" s="1128">
        <f t="shared" si="102"/>
        <v>0</v>
      </c>
      <c r="V505" s="1129">
        <f t="shared" si="102"/>
        <v>0</v>
      </c>
      <c r="W505" s="1129">
        <f t="shared" si="102"/>
        <v>0</v>
      </c>
    </row>
    <row r="506" spans="1:23" ht="13.5" customHeight="1">
      <c r="A506" s="1125"/>
      <c r="B506" s="1143"/>
      <c r="C506" s="1126"/>
      <c r="D506" s="1144"/>
      <c r="E506" s="1124"/>
      <c r="F506" s="1124"/>
      <c r="G506" s="1124"/>
      <c r="H506" s="691" t="s">
        <v>239</v>
      </c>
      <c r="I506" s="691" t="s">
        <v>239</v>
      </c>
      <c r="J506" s="1128"/>
      <c r="K506" s="1128"/>
      <c r="L506" s="1129"/>
      <c r="M506" s="1129"/>
      <c r="N506" s="1128"/>
      <c r="O506" s="1128"/>
      <c r="P506" s="1129"/>
      <c r="Q506" s="1129"/>
      <c r="R506" s="1128"/>
      <c r="S506" s="1129"/>
      <c r="T506" s="1129"/>
      <c r="U506" s="1128"/>
      <c r="V506" s="1129"/>
      <c r="W506" s="1129"/>
    </row>
    <row r="507" spans="1:23" ht="13.5" customHeight="1">
      <c r="A507" s="1125">
        <v>19</v>
      </c>
      <c r="B507" s="1143" t="s">
        <v>958</v>
      </c>
      <c r="C507" s="1126" t="s">
        <v>875</v>
      </c>
      <c r="D507" s="1144" t="s">
        <v>959</v>
      </c>
      <c r="E507" s="1124" t="s">
        <v>243</v>
      </c>
      <c r="F507" s="1124" t="s">
        <v>960</v>
      </c>
      <c r="G507" s="1124" t="s">
        <v>909</v>
      </c>
      <c r="H507" s="691" t="s">
        <v>239</v>
      </c>
      <c r="I507" s="691" t="s">
        <v>239</v>
      </c>
      <c r="J507" s="1128">
        <f>K507+N507</f>
        <v>225500</v>
      </c>
      <c r="K507" s="1128">
        <f>L507+M507</f>
        <v>0</v>
      </c>
      <c r="L507" s="1129">
        <v>0</v>
      </c>
      <c r="M507" s="1129">
        <v>0</v>
      </c>
      <c r="N507" s="1128">
        <f>O507+R507+U507</f>
        <v>225500</v>
      </c>
      <c r="O507" s="1128">
        <f>P507+Q507</f>
        <v>225500</v>
      </c>
      <c r="P507" s="1129">
        <v>225500</v>
      </c>
      <c r="Q507" s="1129">
        <v>0</v>
      </c>
      <c r="R507" s="1128">
        <f>S507+T507</f>
        <v>0</v>
      </c>
      <c r="S507" s="1129">
        <v>0</v>
      </c>
      <c r="T507" s="1129">
        <v>0</v>
      </c>
      <c r="U507" s="1128">
        <f>V507+W507</f>
        <v>0</v>
      </c>
      <c r="V507" s="1129">
        <v>0</v>
      </c>
      <c r="W507" s="1129">
        <v>0</v>
      </c>
    </row>
    <row r="508" spans="1:23" ht="13.5" customHeight="1">
      <c r="A508" s="1125"/>
      <c r="B508" s="1143"/>
      <c r="C508" s="1126"/>
      <c r="D508" s="1144"/>
      <c r="E508" s="1124"/>
      <c r="F508" s="1124"/>
      <c r="G508" s="1124"/>
      <c r="H508" s="691" t="s">
        <v>239</v>
      </c>
      <c r="I508" s="691" t="s">
        <v>239</v>
      </c>
      <c r="J508" s="1128"/>
      <c r="K508" s="1128"/>
      <c r="L508" s="1129"/>
      <c r="M508" s="1129"/>
      <c r="N508" s="1128"/>
      <c r="O508" s="1128"/>
      <c r="P508" s="1129"/>
      <c r="Q508" s="1129"/>
      <c r="R508" s="1128"/>
      <c r="S508" s="1129"/>
      <c r="T508" s="1129"/>
      <c r="U508" s="1128"/>
      <c r="V508" s="1129"/>
      <c r="W508" s="1129"/>
    </row>
    <row r="509" spans="1:23" ht="13.5" customHeight="1">
      <c r="A509" s="1125"/>
      <c r="B509" s="1143"/>
      <c r="C509" s="1126"/>
      <c r="D509" s="1144"/>
      <c r="E509" s="1124"/>
      <c r="F509" s="1124"/>
      <c r="G509" s="1124"/>
      <c r="H509" s="691" t="s">
        <v>239</v>
      </c>
      <c r="I509" s="691" t="s">
        <v>239</v>
      </c>
      <c r="J509" s="693">
        <f>K509+N509</f>
        <v>-61406</v>
      </c>
      <c r="K509" s="693">
        <f>L509+M509</f>
        <v>0</v>
      </c>
      <c r="L509" s="694">
        <v>0</v>
      </c>
      <c r="M509" s="694">
        <v>0</v>
      </c>
      <c r="N509" s="693">
        <f>O509+R509+U509</f>
        <v>-61406</v>
      </c>
      <c r="O509" s="693">
        <f>P509+Q509</f>
        <v>-61406</v>
      </c>
      <c r="P509" s="694">
        <v>-61406</v>
      </c>
      <c r="Q509" s="694">
        <v>0</v>
      </c>
      <c r="R509" s="693">
        <f>S509+T509</f>
        <v>0</v>
      </c>
      <c r="S509" s="694">
        <v>0</v>
      </c>
      <c r="T509" s="694">
        <v>0</v>
      </c>
      <c r="U509" s="693">
        <f>V509+W509</f>
        <v>0</v>
      </c>
      <c r="V509" s="694">
        <v>0</v>
      </c>
      <c r="W509" s="694">
        <v>0</v>
      </c>
    </row>
    <row r="510" spans="1:23" ht="13.5" customHeight="1">
      <c r="A510" s="1125"/>
      <c r="B510" s="1143"/>
      <c r="C510" s="1126"/>
      <c r="D510" s="1144"/>
      <c r="E510" s="1124"/>
      <c r="F510" s="1124"/>
      <c r="G510" s="1124"/>
      <c r="H510" s="691" t="s">
        <v>239</v>
      </c>
      <c r="I510" s="691" t="s">
        <v>239</v>
      </c>
      <c r="J510" s="1128">
        <f t="shared" ref="J510:W510" si="103">J507+J509</f>
        <v>164094</v>
      </c>
      <c r="K510" s="1128">
        <f t="shared" si="103"/>
        <v>0</v>
      </c>
      <c r="L510" s="1129">
        <f t="shared" si="103"/>
        <v>0</v>
      </c>
      <c r="M510" s="1129">
        <f t="shared" si="103"/>
        <v>0</v>
      </c>
      <c r="N510" s="1128">
        <f t="shared" si="103"/>
        <v>164094</v>
      </c>
      <c r="O510" s="1128">
        <f t="shared" si="103"/>
        <v>164094</v>
      </c>
      <c r="P510" s="1129">
        <f t="shared" si="103"/>
        <v>164094</v>
      </c>
      <c r="Q510" s="1129">
        <f t="shared" si="103"/>
        <v>0</v>
      </c>
      <c r="R510" s="1128">
        <f t="shared" si="103"/>
        <v>0</v>
      </c>
      <c r="S510" s="1129">
        <f t="shared" si="103"/>
        <v>0</v>
      </c>
      <c r="T510" s="1129">
        <f t="shared" si="103"/>
        <v>0</v>
      </c>
      <c r="U510" s="1128">
        <f t="shared" si="103"/>
        <v>0</v>
      </c>
      <c r="V510" s="1129">
        <f t="shared" si="103"/>
        <v>0</v>
      </c>
      <c r="W510" s="1129">
        <f t="shared" si="103"/>
        <v>0</v>
      </c>
    </row>
    <row r="511" spans="1:23" ht="13.5" customHeight="1">
      <c r="A511" s="1125"/>
      <c r="B511" s="1143"/>
      <c r="C511" s="1126"/>
      <c r="D511" s="1144"/>
      <c r="E511" s="1124"/>
      <c r="F511" s="1124"/>
      <c r="G511" s="1124"/>
      <c r="H511" s="691" t="s">
        <v>239</v>
      </c>
      <c r="I511" s="691" t="s">
        <v>239</v>
      </c>
      <c r="J511" s="1128"/>
      <c r="K511" s="1128"/>
      <c r="L511" s="1129"/>
      <c r="M511" s="1129"/>
      <c r="N511" s="1128"/>
      <c r="O511" s="1128"/>
      <c r="P511" s="1129"/>
      <c r="Q511" s="1129"/>
      <c r="R511" s="1128"/>
      <c r="S511" s="1129"/>
      <c r="T511" s="1129"/>
      <c r="U511" s="1128"/>
      <c r="V511" s="1129"/>
      <c r="W511" s="1129"/>
    </row>
    <row r="512" spans="1:23" ht="13.5" customHeight="1">
      <c r="A512" s="1125">
        <v>20</v>
      </c>
      <c r="B512" s="1143" t="s">
        <v>961</v>
      </c>
      <c r="C512" s="1126" t="s">
        <v>888</v>
      </c>
      <c r="D512" s="1144" t="s">
        <v>962</v>
      </c>
      <c r="E512" s="1124" t="s">
        <v>243</v>
      </c>
      <c r="F512" s="1124" t="s">
        <v>960</v>
      </c>
      <c r="G512" s="1124" t="s">
        <v>909</v>
      </c>
      <c r="H512" s="691" t="s">
        <v>239</v>
      </c>
      <c r="I512" s="691" t="s">
        <v>239</v>
      </c>
      <c r="J512" s="1128">
        <f>K512+N512</f>
        <v>150000</v>
      </c>
      <c r="K512" s="1128">
        <f>L512+M512</f>
        <v>0</v>
      </c>
      <c r="L512" s="1129">
        <v>0</v>
      </c>
      <c r="M512" s="1129">
        <v>0</v>
      </c>
      <c r="N512" s="1128">
        <f>O512+R512+U512</f>
        <v>150000</v>
      </c>
      <c r="O512" s="1128">
        <f>P512+Q512</f>
        <v>150000</v>
      </c>
      <c r="P512" s="1129">
        <v>150000</v>
      </c>
      <c r="Q512" s="1129">
        <v>0</v>
      </c>
      <c r="R512" s="1128">
        <f>S512+T512</f>
        <v>0</v>
      </c>
      <c r="S512" s="1129">
        <v>0</v>
      </c>
      <c r="T512" s="1129">
        <v>0</v>
      </c>
      <c r="U512" s="1128">
        <f>V512+W512</f>
        <v>0</v>
      </c>
      <c r="V512" s="1129">
        <v>0</v>
      </c>
      <c r="W512" s="1129">
        <v>0</v>
      </c>
    </row>
    <row r="513" spans="1:23" ht="13.5" customHeight="1">
      <c r="A513" s="1125"/>
      <c r="B513" s="1143"/>
      <c r="C513" s="1126"/>
      <c r="D513" s="1144"/>
      <c r="E513" s="1124"/>
      <c r="F513" s="1124"/>
      <c r="G513" s="1124"/>
      <c r="H513" s="691" t="s">
        <v>239</v>
      </c>
      <c r="I513" s="691" t="s">
        <v>239</v>
      </c>
      <c r="J513" s="1128"/>
      <c r="K513" s="1128"/>
      <c r="L513" s="1129"/>
      <c r="M513" s="1129"/>
      <c r="N513" s="1128"/>
      <c r="O513" s="1128"/>
      <c r="P513" s="1129"/>
      <c r="Q513" s="1129"/>
      <c r="R513" s="1128"/>
      <c r="S513" s="1129"/>
      <c r="T513" s="1129"/>
      <c r="U513" s="1128"/>
      <c r="V513" s="1129"/>
      <c r="W513" s="1129"/>
    </row>
    <row r="514" spans="1:23" ht="13.5" customHeight="1">
      <c r="A514" s="1125"/>
      <c r="B514" s="1143"/>
      <c r="C514" s="1126"/>
      <c r="D514" s="1144"/>
      <c r="E514" s="1124"/>
      <c r="F514" s="1124"/>
      <c r="G514" s="1124"/>
      <c r="H514" s="691" t="s">
        <v>239</v>
      </c>
      <c r="I514" s="691" t="s">
        <v>239</v>
      </c>
      <c r="J514" s="693">
        <f>K514+N514</f>
        <v>-148107</v>
      </c>
      <c r="K514" s="693">
        <f>L514+M514</f>
        <v>0</v>
      </c>
      <c r="L514" s="694">
        <v>0</v>
      </c>
      <c r="M514" s="694">
        <v>0</v>
      </c>
      <c r="N514" s="693">
        <f>O514+R514+U514</f>
        <v>-148107</v>
      </c>
      <c r="O514" s="693">
        <f>P514+Q514</f>
        <v>-148107</v>
      </c>
      <c r="P514" s="694">
        <v>-148107</v>
      </c>
      <c r="Q514" s="694">
        <v>0</v>
      </c>
      <c r="R514" s="693">
        <f>S514+T514</f>
        <v>0</v>
      </c>
      <c r="S514" s="694">
        <v>0</v>
      </c>
      <c r="T514" s="694">
        <v>0</v>
      </c>
      <c r="U514" s="693">
        <f>V514+W514</f>
        <v>0</v>
      </c>
      <c r="V514" s="694">
        <v>0</v>
      </c>
      <c r="W514" s="694">
        <v>0</v>
      </c>
    </row>
    <row r="515" spans="1:23" ht="13.5" customHeight="1">
      <c r="A515" s="1125"/>
      <c r="B515" s="1143"/>
      <c r="C515" s="1126"/>
      <c r="D515" s="1144"/>
      <c r="E515" s="1124"/>
      <c r="F515" s="1124"/>
      <c r="G515" s="1124"/>
      <c r="H515" s="691" t="s">
        <v>239</v>
      </c>
      <c r="I515" s="691" t="s">
        <v>239</v>
      </c>
      <c r="J515" s="1128">
        <f t="shared" ref="J515:W515" si="104">J512+J514</f>
        <v>1893</v>
      </c>
      <c r="K515" s="1128">
        <f t="shared" si="104"/>
        <v>0</v>
      </c>
      <c r="L515" s="1129">
        <f t="shared" si="104"/>
        <v>0</v>
      </c>
      <c r="M515" s="1129">
        <f t="shared" si="104"/>
        <v>0</v>
      </c>
      <c r="N515" s="1128">
        <f t="shared" si="104"/>
        <v>1893</v>
      </c>
      <c r="O515" s="1128">
        <f t="shared" si="104"/>
        <v>1893</v>
      </c>
      <c r="P515" s="1129">
        <f t="shared" si="104"/>
        <v>1893</v>
      </c>
      <c r="Q515" s="1129">
        <f t="shared" si="104"/>
        <v>0</v>
      </c>
      <c r="R515" s="1128">
        <f t="shared" si="104"/>
        <v>0</v>
      </c>
      <c r="S515" s="1129">
        <f t="shared" si="104"/>
        <v>0</v>
      </c>
      <c r="T515" s="1129">
        <f t="shared" si="104"/>
        <v>0</v>
      </c>
      <c r="U515" s="1128">
        <f t="shared" si="104"/>
        <v>0</v>
      </c>
      <c r="V515" s="1129">
        <f t="shared" si="104"/>
        <v>0</v>
      </c>
      <c r="W515" s="1129">
        <f t="shared" si="104"/>
        <v>0</v>
      </c>
    </row>
    <row r="516" spans="1:23" ht="13.5" customHeight="1">
      <c r="A516" s="1125"/>
      <c r="B516" s="1143"/>
      <c r="C516" s="1126"/>
      <c r="D516" s="1144"/>
      <c r="E516" s="1124"/>
      <c r="F516" s="1124"/>
      <c r="G516" s="1124"/>
      <c r="H516" s="691" t="s">
        <v>239</v>
      </c>
      <c r="I516" s="691" t="s">
        <v>239</v>
      </c>
      <c r="J516" s="1128"/>
      <c r="K516" s="1128"/>
      <c r="L516" s="1129"/>
      <c r="M516" s="1129"/>
      <c r="N516" s="1128"/>
      <c r="O516" s="1128"/>
      <c r="P516" s="1129"/>
      <c r="Q516" s="1129"/>
      <c r="R516" s="1128"/>
      <c r="S516" s="1129"/>
      <c r="T516" s="1129"/>
      <c r="U516" s="1128"/>
      <c r="V516" s="1129"/>
      <c r="W516" s="1129"/>
    </row>
    <row r="517" spans="1:23" ht="13.5" customHeight="1">
      <c r="A517" s="1125">
        <v>21</v>
      </c>
      <c r="B517" s="1143" t="s">
        <v>878</v>
      </c>
      <c r="C517" s="1126" t="s">
        <v>875</v>
      </c>
      <c r="D517" s="1144" t="s">
        <v>963</v>
      </c>
      <c r="E517" s="1124" t="s">
        <v>243</v>
      </c>
      <c r="F517" s="1124" t="s">
        <v>960</v>
      </c>
      <c r="G517" s="1124" t="s">
        <v>909</v>
      </c>
      <c r="H517" s="691" t="s">
        <v>239</v>
      </c>
      <c r="I517" s="691" t="s">
        <v>239</v>
      </c>
      <c r="J517" s="1128">
        <f>K517+N517</f>
        <v>1158619</v>
      </c>
      <c r="K517" s="1128">
        <f>L517+M517</f>
        <v>0</v>
      </c>
      <c r="L517" s="1129">
        <v>0</v>
      </c>
      <c r="M517" s="1129">
        <v>0</v>
      </c>
      <c r="N517" s="1128">
        <f>O517+R517+U517</f>
        <v>1158619</v>
      </c>
      <c r="O517" s="1128">
        <f>P517+Q517</f>
        <v>1158619</v>
      </c>
      <c r="P517" s="1129">
        <v>1151645</v>
      </c>
      <c r="Q517" s="1129">
        <v>6974</v>
      </c>
      <c r="R517" s="1128">
        <f>S517+T517</f>
        <v>0</v>
      </c>
      <c r="S517" s="1129">
        <v>0</v>
      </c>
      <c r="T517" s="1129">
        <v>0</v>
      </c>
      <c r="U517" s="1128">
        <f>V517+W517</f>
        <v>0</v>
      </c>
      <c r="V517" s="1129">
        <v>0</v>
      </c>
      <c r="W517" s="1129">
        <v>0</v>
      </c>
    </row>
    <row r="518" spans="1:23" ht="13.5" customHeight="1">
      <c r="A518" s="1125"/>
      <c r="B518" s="1143"/>
      <c r="C518" s="1126"/>
      <c r="D518" s="1144"/>
      <c r="E518" s="1124"/>
      <c r="F518" s="1124"/>
      <c r="G518" s="1124"/>
      <c r="H518" s="691" t="s">
        <v>239</v>
      </c>
      <c r="I518" s="691" t="s">
        <v>239</v>
      </c>
      <c r="J518" s="1128"/>
      <c r="K518" s="1128"/>
      <c r="L518" s="1129"/>
      <c r="M518" s="1129"/>
      <c r="N518" s="1128"/>
      <c r="O518" s="1128"/>
      <c r="P518" s="1129"/>
      <c r="Q518" s="1129"/>
      <c r="R518" s="1128"/>
      <c r="S518" s="1129"/>
      <c r="T518" s="1129"/>
      <c r="U518" s="1128"/>
      <c r="V518" s="1129"/>
      <c r="W518" s="1129"/>
    </row>
    <row r="519" spans="1:23" ht="13.5" customHeight="1">
      <c r="A519" s="1125"/>
      <c r="B519" s="1143"/>
      <c r="C519" s="1126"/>
      <c r="D519" s="1144"/>
      <c r="E519" s="1124"/>
      <c r="F519" s="1124"/>
      <c r="G519" s="1124"/>
      <c r="H519" s="691" t="s">
        <v>239</v>
      </c>
      <c r="I519" s="691" t="s">
        <v>239</v>
      </c>
      <c r="J519" s="693">
        <f>K519+N519</f>
        <v>31285</v>
      </c>
      <c r="K519" s="693">
        <f>L519+M519</f>
        <v>0</v>
      </c>
      <c r="L519" s="694">
        <v>0</v>
      </c>
      <c r="M519" s="694">
        <v>0</v>
      </c>
      <c r="N519" s="693">
        <f>O519+R519+U519</f>
        <v>31285</v>
      </c>
      <c r="O519" s="693">
        <f>P519+Q519</f>
        <v>31285</v>
      </c>
      <c r="P519" s="694">
        <v>31285</v>
      </c>
      <c r="Q519" s="694">
        <v>0</v>
      </c>
      <c r="R519" s="693">
        <f>S519+T519</f>
        <v>0</v>
      </c>
      <c r="S519" s="694">
        <v>0</v>
      </c>
      <c r="T519" s="694">
        <v>0</v>
      </c>
      <c r="U519" s="693">
        <f>V519+W519</f>
        <v>0</v>
      </c>
      <c r="V519" s="694">
        <v>0</v>
      </c>
      <c r="W519" s="694">
        <v>0</v>
      </c>
    </row>
    <row r="520" spans="1:23" ht="13.5" customHeight="1">
      <c r="A520" s="1125"/>
      <c r="B520" s="1143"/>
      <c r="C520" s="1126"/>
      <c r="D520" s="1144"/>
      <c r="E520" s="1124"/>
      <c r="F520" s="1124"/>
      <c r="G520" s="1124"/>
      <c r="H520" s="691" t="s">
        <v>239</v>
      </c>
      <c r="I520" s="691" t="s">
        <v>239</v>
      </c>
      <c r="J520" s="1128">
        <f t="shared" ref="J520:W520" si="105">J517+J519</f>
        <v>1189904</v>
      </c>
      <c r="K520" s="1128">
        <f t="shared" si="105"/>
        <v>0</v>
      </c>
      <c r="L520" s="1129">
        <f t="shared" si="105"/>
        <v>0</v>
      </c>
      <c r="M520" s="1129">
        <f t="shared" si="105"/>
        <v>0</v>
      </c>
      <c r="N520" s="1128">
        <f t="shared" si="105"/>
        <v>1189904</v>
      </c>
      <c r="O520" s="1128">
        <f t="shared" si="105"/>
        <v>1189904</v>
      </c>
      <c r="P520" s="1129">
        <f t="shared" si="105"/>
        <v>1182930</v>
      </c>
      <c r="Q520" s="1129">
        <f t="shared" si="105"/>
        <v>6974</v>
      </c>
      <c r="R520" s="1128">
        <f t="shared" si="105"/>
        <v>0</v>
      </c>
      <c r="S520" s="1129">
        <f t="shared" si="105"/>
        <v>0</v>
      </c>
      <c r="T520" s="1129">
        <f t="shared" si="105"/>
        <v>0</v>
      </c>
      <c r="U520" s="1128">
        <f t="shared" si="105"/>
        <v>0</v>
      </c>
      <c r="V520" s="1129">
        <f t="shared" si="105"/>
        <v>0</v>
      </c>
      <c r="W520" s="1129">
        <f t="shared" si="105"/>
        <v>0</v>
      </c>
    </row>
    <row r="521" spans="1:23" ht="13.5" customHeight="1">
      <c r="A521" s="1125"/>
      <c r="B521" s="1143"/>
      <c r="C521" s="1126"/>
      <c r="D521" s="1144"/>
      <c r="E521" s="1124"/>
      <c r="F521" s="1124"/>
      <c r="G521" s="1124"/>
      <c r="H521" s="691" t="s">
        <v>239</v>
      </c>
      <c r="I521" s="691" t="s">
        <v>239</v>
      </c>
      <c r="J521" s="1128"/>
      <c r="K521" s="1128"/>
      <c r="L521" s="1129"/>
      <c r="M521" s="1129"/>
      <c r="N521" s="1128"/>
      <c r="O521" s="1128"/>
      <c r="P521" s="1129"/>
      <c r="Q521" s="1129"/>
      <c r="R521" s="1128"/>
      <c r="S521" s="1129"/>
      <c r="T521" s="1129"/>
      <c r="U521" s="1128"/>
      <c r="V521" s="1129"/>
      <c r="W521" s="1129"/>
    </row>
    <row r="522" spans="1:23" ht="13.5" customHeight="1">
      <c r="A522" s="1125">
        <v>22</v>
      </c>
      <c r="B522" s="1143" t="s">
        <v>964</v>
      </c>
      <c r="C522" s="1126" t="s">
        <v>888</v>
      </c>
      <c r="D522" s="1144" t="s">
        <v>965</v>
      </c>
      <c r="E522" s="1124" t="s">
        <v>243</v>
      </c>
      <c r="F522" s="1124" t="s">
        <v>960</v>
      </c>
      <c r="G522" s="1124" t="s">
        <v>909</v>
      </c>
      <c r="H522" s="691" t="s">
        <v>239</v>
      </c>
      <c r="I522" s="691" t="s">
        <v>239</v>
      </c>
      <c r="J522" s="1128">
        <f>K522+N522</f>
        <v>1147943</v>
      </c>
      <c r="K522" s="1128">
        <f>L522+M522</f>
        <v>0</v>
      </c>
      <c r="L522" s="1129">
        <v>0</v>
      </c>
      <c r="M522" s="1129">
        <v>0</v>
      </c>
      <c r="N522" s="1128">
        <f>O522+R522+U522</f>
        <v>1147943</v>
      </c>
      <c r="O522" s="1128">
        <f>P522+Q522</f>
        <v>1147943</v>
      </c>
      <c r="P522" s="1129">
        <v>1029000</v>
      </c>
      <c r="Q522" s="1129">
        <v>118943</v>
      </c>
      <c r="R522" s="1128">
        <f>S522+T522</f>
        <v>0</v>
      </c>
      <c r="S522" s="1129">
        <v>0</v>
      </c>
      <c r="T522" s="1129">
        <v>0</v>
      </c>
      <c r="U522" s="1128">
        <f>V522+W522</f>
        <v>0</v>
      </c>
      <c r="V522" s="1129">
        <v>0</v>
      </c>
      <c r="W522" s="1129">
        <v>0</v>
      </c>
    </row>
    <row r="523" spans="1:23" ht="13.5" customHeight="1">
      <c r="A523" s="1125"/>
      <c r="B523" s="1143"/>
      <c r="C523" s="1126"/>
      <c r="D523" s="1144"/>
      <c r="E523" s="1124"/>
      <c r="F523" s="1124"/>
      <c r="G523" s="1124"/>
      <c r="H523" s="691" t="s">
        <v>239</v>
      </c>
      <c r="I523" s="691" t="s">
        <v>239</v>
      </c>
      <c r="J523" s="1128"/>
      <c r="K523" s="1128"/>
      <c r="L523" s="1129"/>
      <c r="M523" s="1129"/>
      <c r="N523" s="1128"/>
      <c r="O523" s="1128"/>
      <c r="P523" s="1129"/>
      <c r="Q523" s="1129"/>
      <c r="R523" s="1128"/>
      <c r="S523" s="1129"/>
      <c r="T523" s="1129"/>
      <c r="U523" s="1128"/>
      <c r="V523" s="1129"/>
      <c r="W523" s="1129"/>
    </row>
    <row r="524" spans="1:23" ht="13.5" customHeight="1">
      <c r="A524" s="1125"/>
      <c r="B524" s="1143"/>
      <c r="C524" s="1126"/>
      <c r="D524" s="1144"/>
      <c r="E524" s="1124"/>
      <c r="F524" s="1124"/>
      <c r="G524" s="1124"/>
      <c r="H524" s="691" t="s">
        <v>239</v>
      </c>
      <c r="I524" s="691" t="s">
        <v>239</v>
      </c>
      <c r="J524" s="693">
        <f>K524+N524</f>
        <v>28547</v>
      </c>
      <c r="K524" s="693">
        <f>L524+M524</f>
        <v>0</v>
      </c>
      <c r="L524" s="694">
        <v>0</v>
      </c>
      <c r="M524" s="694">
        <v>0</v>
      </c>
      <c r="N524" s="693">
        <f>O524+R524+U524</f>
        <v>28547</v>
      </c>
      <c r="O524" s="693">
        <f>P524+Q524</f>
        <v>28547</v>
      </c>
      <c r="P524" s="694">
        <v>28547</v>
      </c>
      <c r="Q524" s="694">
        <v>0</v>
      </c>
      <c r="R524" s="693">
        <f>S524+T524</f>
        <v>0</v>
      </c>
      <c r="S524" s="694">
        <v>0</v>
      </c>
      <c r="T524" s="694">
        <v>0</v>
      </c>
      <c r="U524" s="693">
        <f>V524+W524</f>
        <v>0</v>
      </c>
      <c r="V524" s="694">
        <v>0</v>
      </c>
      <c r="W524" s="694">
        <v>0</v>
      </c>
    </row>
    <row r="525" spans="1:23" ht="13.5" customHeight="1">
      <c r="A525" s="1125"/>
      <c r="B525" s="1143"/>
      <c r="C525" s="1126"/>
      <c r="D525" s="1144"/>
      <c r="E525" s="1124"/>
      <c r="F525" s="1124"/>
      <c r="G525" s="1124"/>
      <c r="H525" s="691" t="s">
        <v>239</v>
      </c>
      <c r="I525" s="691" t="s">
        <v>239</v>
      </c>
      <c r="J525" s="1128">
        <f t="shared" ref="J525:W525" si="106">J522+J524</f>
        <v>1176490</v>
      </c>
      <c r="K525" s="1128">
        <f t="shared" si="106"/>
        <v>0</v>
      </c>
      <c r="L525" s="1129">
        <f t="shared" si="106"/>
        <v>0</v>
      </c>
      <c r="M525" s="1129">
        <f t="shared" si="106"/>
        <v>0</v>
      </c>
      <c r="N525" s="1128">
        <f t="shared" si="106"/>
        <v>1176490</v>
      </c>
      <c r="O525" s="1128">
        <f t="shared" si="106"/>
        <v>1176490</v>
      </c>
      <c r="P525" s="1129">
        <f t="shared" si="106"/>
        <v>1057547</v>
      </c>
      <c r="Q525" s="1129">
        <f t="shared" si="106"/>
        <v>118943</v>
      </c>
      <c r="R525" s="1128">
        <f t="shared" si="106"/>
        <v>0</v>
      </c>
      <c r="S525" s="1129">
        <f t="shared" si="106"/>
        <v>0</v>
      </c>
      <c r="T525" s="1129">
        <f t="shared" si="106"/>
        <v>0</v>
      </c>
      <c r="U525" s="1128">
        <f t="shared" si="106"/>
        <v>0</v>
      </c>
      <c r="V525" s="1129">
        <f t="shared" si="106"/>
        <v>0</v>
      </c>
      <c r="W525" s="1129">
        <f t="shared" si="106"/>
        <v>0</v>
      </c>
    </row>
    <row r="526" spans="1:23" ht="13.5" customHeight="1">
      <c r="A526" s="1125"/>
      <c r="B526" s="1143"/>
      <c r="C526" s="1126"/>
      <c r="D526" s="1144"/>
      <c r="E526" s="1124"/>
      <c r="F526" s="1124"/>
      <c r="G526" s="1124"/>
      <c r="H526" s="691" t="s">
        <v>239</v>
      </c>
      <c r="I526" s="691" t="s">
        <v>239</v>
      </c>
      <c r="J526" s="1128"/>
      <c r="K526" s="1128"/>
      <c r="L526" s="1129"/>
      <c r="M526" s="1129"/>
      <c r="N526" s="1128"/>
      <c r="O526" s="1128"/>
      <c r="P526" s="1129"/>
      <c r="Q526" s="1129"/>
      <c r="R526" s="1128"/>
      <c r="S526" s="1129"/>
      <c r="T526" s="1129"/>
      <c r="U526" s="1128"/>
      <c r="V526" s="1129"/>
      <c r="W526" s="1129"/>
    </row>
    <row r="527" spans="1:23" ht="13.5" hidden="1" customHeight="1">
      <c r="A527" s="1125">
        <v>6</v>
      </c>
      <c r="B527" s="1143" t="s">
        <v>890</v>
      </c>
      <c r="C527" s="1126" t="s">
        <v>891</v>
      </c>
      <c r="D527" s="1144" t="s">
        <v>966</v>
      </c>
      <c r="E527" s="1124" t="s">
        <v>243</v>
      </c>
      <c r="F527" s="1124" t="s">
        <v>967</v>
      </c>
      <c r="G527" s="1124" t="s">
        <v>909</v>
      </c>
      <c r="H527" s="691" t="s">
        <v>239</v>
      </c>
      <c r="I527" s="691" t="s">
        <v>239</v>
      </c>
      <c r="J527" s="1128">
        <f>K527+N527</f>
        <v>444445</v>
      </c>
      <c r="K527" s="1128">
        <f>L527+M527</f>
        <v>0</v>
      </c>
      <c r="L527" s="1129">
        <v>0</v>
      </c>
      <c r="M527" s="1129">
        <v>0</v>
      </c>
      <c r="N527" s="1128">
        <f>O527+R527+U527</f>
        <v>444445</v>
      </c>
      <c r="O527" s="1128">
        <f>P527+Q527</f>
        <v>444445</v>
      </c>
      <c r="P527" s="1129">
        <v>444445</v>
      </c>
      <c r="Q527" s="1129">
        <v>0</v>
      </c>
      <c r="R527" s="1128">
        <f>S527+T527</f>
        <v>0</v>
      </c>
      <c r="S527" s="1129">
        <v>0</v>
      </c>
      <c r="T527" s="1129">
        <v>0</v>
      </c>
      <c r="U527" s="1128">
        <f>V527+W527</f>
        <v>0</v>
      </c>
      <c r="V527" s="1129">
        <v>0</v>
      </c>
      <c r="W527" s="1129">
        <v>0</v>
      </c>
    </row>
    <row r="528" spans="1:23" ht="13.5" hidden="1" customHeight="1">
      <c r="A528" s="1125"/>
      <c r="B528" s="1143"/>
      <c r="C528" s="1126"/>
      <c r="D528" s="1144"/>
      <c r="E528" s="1124"/>
      <c r="F528" s="1124"/>
      <c r="G528" s="1124"/>
      <c r="H528" s="691" t="s">
        <v>239</v>
      </c>
      <c r="I528" s="691" t="s">
        <v>239</v>
      </c>
      <c r="J528" s="1128"/>
      <c r="K528" s="1128"/>
      <c r="L528" s="1129"/>
      <c r="M528" s="1129"/>
      <c r="N528" s="1128"/>
      <c r="O528" s="1128"/>
      <c r="P528" s="1129"/>
      <c r="Q528" s="1129"/>
      <c r="R528" s="1128"/>
      <c r="S528" s="1129"/>
      <c r="T528" s="1129"/>
      <c r="U528" s="1128"/>
      <c r="V528" s="1129"/>
      <c r="W528" s="1129"/>
    </row>
    <row r="529" spans="1:23" ht="13.5" hidden="1" customHeight="1">
      <c r="A529" s="1125"/>
      <c r="B529" s="1143"/>
      <c r="C529" s="1126"/>
      <c r="D529" s="1144"/>
      <c r="E529" s="1124"/>
      <c r="F529" s="1124"/>
      <c r="G529" s="1124"/>
      <c r="H529" s="691" t="s">
        <v>239</v>
      </c>
      <c r="I529" s="691" t="s">
        <v>239</v>
      </c>
      <c r="J529" s="693">
        <f>K529+N529</f>
        <v>0</v>
      </c>
      <c r="K529" s="693">
        <f>L529+M529</f>
        <v>0</v>
      </c>
      <c r="L529" s="694">
        <v>0</v>
      </c>
      <c r="M529" s="694">
        <v>0</v>
      </c>
      <c r="N529" s="693">
        <f>O529+R529+U529</f>
        <v>0</v>
      </c>
      <c r="O529" s="693">
        <f>P529+Q529</f>
        <v>0</v>
      </c>
      <c r="P529" s="694">
        <v>0</v>
      </c>
      <c r="Q529" s="694">
        <v>0</v>
      </c>
      <c r="R529" s="693">
        <f>S529+T529</f>
        <v>0</v>
      </c>
      <c r="S529" s="694">
        <v>0</v>
      </c>
      <c r="T529" s="694">
        <v>0</v>
      </c>
      <c r="U529" s="693">
        <f>V529+W529</f>
        <v>0</v>
      </c>
      <c r="V529" s="694">
        <v>0</v>
      </c>
      <c r="W529" s="694">
        <v>0</v>
      </c>
    </row>
    <row r="530" spans="1:23" ht="13.5" hidden="1" customHeight="1">
      <c r="A530" s="1125"/>
      <c r="B530" s="1143"/>
      <c r="C530" s="1126"/>
      <c r="D530" s="1144"/>
      <c r="E530" s="1124"/>
      <c r="F530" s="1124"/>
      <c r="G530" s="1124"/>
      <c r="H530" s="691" t="s">
        <v>239</v>
      </c>
      <c r="I530" s="691" t="s">
        <v>239</v>
      </c>
      <c r="J530" s="1128">
        <f t="shared" ref="J530:W530" si="107">J527+J529</f>
        <v>444445</v>
      </c>
      <c r="K530" s="1128">
        <f t="shared" si="107"/>
        <v>0</v>
      </c>
      <c r="L530" s="1129">
        <f t="shared" si="107"/>
        <v>0</v>
      </c>
      <c r="M530" s="1129">
        <f t="shared" si="107"/>
        <v>0</v>
      </c>
      <c r="N530" s="1128">
        <f t="shared" si="107"/>
        <v>444445</v>
      </c>
      <c r="O530" s="1128">
        <f t="shared" si="107"/>
        <v>444445</v>
      </c>
      <c r="P530" s="1129">
        <f t="shared" si="107"/>
        <v>444445</v>
      </c>
      <c r="Q530" s="1129">
        <f t="shared" si="107"/>
        <v>0</v>
      </c>
      <c r="R530" s="1128">
        <f t="shared" si="107"/>
        <v>0</v>
      </c>
      <c r="S530" s="1129">
        <f t="shared" si="107"/>
        <v>0</v>
      </c>
      <c r="T530" s="1129">
        <f t="shared" si="107"/>
        <v>0</v>
      </c>
      <c r="U530" s="1128">
        <f t="shared" si="107"/>
        <v>0</v>
      </c>
      <c r="V530" s="1129">
        <f t="shared" si="107"/>
        <v>0</v>
      </c>
      <c r="W530" s="1129">
        <f t="shared" si="107"/>
        <v>0</v>
      </c>
    </row>
    <row r="531" spans="1:23" ht="13.5" hidden="1" customHeight="1">
      <c r="A531" s="1125"/>
      <c r="B531" s="1143"/>
      <c r="C531" s="1126"/>
      <c r="D531" s="1144"/>
      <c r="E531" s="1124"/>
      <c r="F531" s="1124"/>
      <c r="G531" s="1124"/>
      <c r="H531" s="691" t="s">
        <v>239</v>
      </c>
      <c r="I531" s="691" t="s">
        <v>239</v>
      </c>
      <c r="J531" s="1128"/>
      <c r="K531" s="1128"/>
      <c r="L531" s="1129"/>
      <c r="M531" s="1129"/>
      <c r="N531" s="1128"/>
      <c r="O531" s="1128"/>
      <c r="P531" s="1129"/>
      <c r="Q531" s="1129"/>
      <c r="R531" s="1128"/>
      <c r="S531" s="1129"/>
      <c r="T531" s="1129"/>
      <c r="U531" s="1128"/>
      <c r="V531" s="1129"/>
      <c r="W531" s="1129"/>
    </row>
    <row r="532" spans="1:23" ht="13.5" customHeight="1">
      <c r="A532" s="1125">
        <v>23</v>
      </c>
      <c r="B532" s="1143" t="s">
        <v>968</v>
      </c>
      <c r="C532" s="1126" t="s">
        <v>888</v>
      </c>
      <c r="D532" s="1144" t="s">
        <v>969</v>
      </c>
      <c r="E532" s="1124" t="s">
        <v>243</v>
      </c>
      <c r="F532" s="1124" t="s">
        <v>967</v>
      </c>
      <c r="G532" s="1124" t="s">
        <v>909</v>
      </c>
      <c r="H532" s="691" t="s">
        <v>239</v>
      </c>
      <c r="I532" s="691" t="s">
        <v>239</v>
      </c>
      <c r="J532" s="1128">
        <f>K532+N532</f>
        <v>712000</v>
      </c>
      <c r="K532" s="1128">
        <f>L532+M532</f>
        <v>0</v>
      </c>
      <c r="L532" s="1129">
        <v>0</v>
      </c>
      <c r="M532" s="1129">
        <v>0</v>
      </c>
      <c r="N532" s="1128">
        <f>O532+R532+U532</f>
        <v>712000</v>
      </c>
      <c r="O532" s="1128">
        <f>P532+Q532</f>
        <v>712000</v>
      </c>
      <c r="P532" s="1129">
        <v>712000</v>
      </c>
      <c r="Q532" s="1129">
        <v>0</v>
      </c>
      <c r="R532" s="1128">
        <f>S532+T532</f>
        <v>0</v>
      </c>
      <c r="S532" s="1129">
        <v>0</v>
      </c>
      <c r="T532" s="1129">
        <v>0</v>
      </c>
      <c r="U532" s="1128">
        <f>V532+W532</f>
        <v>0</v>
      </c>
      <c r="V532" s="1129">
        <v>0</v>
      </c>
      <c r="W532" s="1129">
        <v>0</v>
      </c>
    </row>
    <row r="533" spans="1:23" ht="13.5" customHeight="1">
      <c r="A533" s="1125"/>
      <c r="B533" s="1143"/>
      <c r="C533" s="1126"/>
      <c r="D533" s="1144"/>
      <c r="E533" s="1124"/>
      <c r="F533" s="1124"/>
      <c r="G533" s="1124"/>
      <c r="H533" s="691" t="s">
        <v>239</v>
      </c>
      <c r="I533" s="691" t="s">
        <v>239</v>
      </c>
      <c r="J533" s="1128"/>
      <c r="K533" s="1128"/>
      <c r="L533" s="1129"/>
      <c r="M533" s="1129"/>
      <c r="N533" s="1128"/>
      <c r="O533" s="1128"/>
      <c r="P533" s="1129"/>
      <c r="Q533" s="1129"/>
      <c r="R533" s="1128"/>
      <c r="S533" s="1129"/>
      <c r="T533" s="1129"/>
      <c r="U533" s="1128"/>
      <c r="V533" s="1129"/>
      <c r="W533" s="1129"/>
    </row>
    <row r="534" spans="1:23" ht="13.5" customHeight="1">
      <c r="A534" s="1125"/>
      <c r="B534" s="1143"/>
      <c r="C534" s="1126"/>
      <c r="D534" s="1144"/>
      <c r="E534" s="1124"/>
      <c r="F534" s="1124"/>
      <c r="G534" s="1124"/>
      <c r="H534" s="691" t="s">
        <v>239</v>
      </c>
      <c r="I534" s="691" t="s">
        <v>239</v>
      </c>
      <c r="J534" s="693">
        <f>K534+N534</f>
        <v>-79640</v>
      </c>
      <c r="K534" s="693">
        <f>L534+M534</f>
        <v>0</v>
      </c>
      <c r="L534" s="694">
        <v>0</v>
      </c>
      <c r="M534" s="694">
        <v>0</v>
      </c>
      <c r="N534" s="693">
        <f>O534+R534+U534</f>
        <v>-79640</v>
      </c>
      <c r="O534" s="693">
        <f>P534+Q534</f>
        <v>-79640</v>
      </c>
      <c r="P534" s="694">
        <v>-79640</v>
      </c>
      <c r="Q534" s="694">
        <v>0</v>
      </c>
      <c r="R534" s="693">
        <f>S534+T534</f>
        <v>0</v>
      </c>
      <c r="S534" s="694">
        <v>0</v>
      </c>
      <c r="T534" s="694">
        <v>0</v>
      </c>
      <c r="U534" s="693">
        <f>V534+W534</f>
        <v>0</v>
      </c>
      <c r="V534" s="694">
        <v>0</v>
      </c>
      <c r="W534" s="694">
        <v>0</v>
      </c>
    </row>
    <row r="535" spans="1:23" ht="13.5" customHeight="1">
      <c r="A535" s="1125"/>
      <c r="B535" s="1143"/>
      <c r="C535" s="1126"/>
      <c r="D535" s="1144"/>
      <c r="E535" s="1124"/>
      <c r="F535" s="1124"/>
      <c r="G535" s="1124"/>
      <c r="H535" s="691" t="s">
        <v>239</v>
      </c>
      <c r="I535" s="691" t="s">
        <v>239</v>
      </c>
      <c r="J535" s="1128">
        <f t="shared" ref="J535:W535" si="108">J532+J534</f>
        <v>632360</v>
      </c>
      <c r="K535" s="1128">
        <f t="shared" si="108"/>
        <v>0</v>
      </c>
      <c r="L535" s="1129">
        <f t="shared" si="108"/>
        <v>0</v>
      </c>
      <c r="M535" s="1129">
        <f t="shared" si="108"/>
        <v>0</v>
      </c>
      <c r="N535" s="1128">
        <f t="shared" si="108"/>
        <v>632360</v>
      </c>
      <c r="O535" s="1128">
        <f t="shared" si="108"/>
        <v>632360</v>
      </c>
      <c r="P535" s="1129">
        <f t="shared" si="108"/>
        <v>632360</v>
      </c>
      <c r="Q535" s="1129">
        <f t="shared" si="108"/>
        <v>0</v>
      </c>
      <c r="R535" s="1128">
        <f t="shared" si="108"/>
        <v>0</v>
      </c>
      <c r="S535" s="1129">
        <f t="shared" si="108"/>
        <v>0</v>
      </c>
      <c r="T535" s="1129">
        <f t="shared" si="108"/>
        <v>0</v>
      </c>
      <c r="U535" s="1128">
        <f t="shared" si="108"/>
        <v>0</v>
      </c>
      <c r="V535" s="1129">
        <f t="shared" si="108"/>
        <v>0</v>
      </c>
      <c r="W535" s="1129">
        <f t="shared" si="108"/>
        <v>0</v>
      </c>
    </row>
    <row r="536" spans="1:23" ht="13.5" customHeight="1">
      <c r="A536" s="1125"/>
      <c r="B536" s="1143"/>
      <c r="C536" s="1126"/>
      <c r="D536" s="1144"/>
      <c r="E536" s="1124"/>
      <c r="F536" s="1124"/>
      <c r="G536" s="1124"/>
      <c r="H536" s="691" t="s">
        <v>239</v>
      </c>
      <c r="I536" s="691" t="s">
        <v>239</v>
      </c>
      <c r="J536" s="1128"/>
      <c r="K536" s="1128"/>
      <c r="L536" s="1129"/>
      <c r="M536" s="1129"/>
      <c r="N536" s="1128"/>
      <c r="O536" s="1128"/>
      <c r="P536" s="1129"/>
      <c r="Q536" s="1129"/>
      <c r="R536" s="1128"/>
      <c r="S536" s="1129"/>
      <c r="T536" s="1129"/>
      <c r="U536" s="1128"/>
      <c r="V536" s="1129"/>
      <c r="W536" s="1129"/>
    </row>
    <row r="537" spans="1:23" s="708" customFormat="1" ht="14.25" customHeight="1">
      <c r="A537" s="1116" t="s">
        <v>970</v>
      </c>
      <c r="B537" s="1116"/>
      <c r="C537" s="1116"/>
      <c r="D537" s="1116"/>
      <c r="E537" s="1116"/>
      <c r="F537" s="1116"/>
      <c r="G537" s="1116"/>
      <c r="H537" s="707" t="s">
        <v>239</v>
      </c>
      <c r="I537" s="707" t="s">
        <v>239</v>
      </c>
      <c r="J537" s="1145">
        <f>J407+J417+J422+J427+J437+J447+J452+J457+J467+J472+J477+J482+J487+J492+J497+J502+J507+J512+J517+J522+J527+J532+J442+J462+J412+J432</f>
        <v>31558049</v>
      </c>
      <c r="K537" s="1145">
        <f t="shared" ref="K537:W537" si="109">K407+K417+K422+K427+K437+K447+K452+K457+K467+K472+K477+K482+K487+K492+K497+K502+K507+K512+K517+K522+K527+K532+K442+K462+K412+K432</f>
        <v>0</v>
      </c>
      <c r="L537" s="1145">
        <f t="shared" si="109"/>
        <v>0</v>
      </c>
      <c r="M537" s="1145">
        <f t="shared" si="109"/>
        <v>0</v>
      </c>
      <c r="N537" s="1145">
        <f t="shared" si="109"/>
        <v>31558049</v>
      </c>
      <c r="O537" s="1145">
        <f t="shared" si="109"/>
        <v>31558049</v>
      </c>
      <c r="P537" s="1145">
        <f t="shared" si="109"/>
        <v>14360670</v>
      </c>
      <c r="Q537" s="1145">
        <f t="shared" si="109"/>
        <v>17197379</v>
      </c>
      <c r="R537" s="1145">
        <f t="shared" si="109"/>
        <v>0</v>
      </c>
      <c r="S537" s="1145">
        <f t="shared" si="109"/>
        <v>0</v>
      </c>
      <c r="T537" s="1145">
        <f t="shared" si="109"/>
        <v>0</v>
      </c>
      <c r="U537" s="1145">
        <f t="shared" si="109"/>
        <v>0</v>
      </c>
      <c r="V537" s="1145">
        <f t="shared" si="109"/>
        <v>0</v>
      </c>
      <c r="W537" s="1145">
        <f t="shared" si="109"/>
        <v>0</v>
      </c>
    </row>
    <row r="538" spans="1:23" s="709" customFormat="1" ht="14.25" customHeight="1">
      <c r="A538" s="1116"/>
      <c r="B538" s="1116"/>
      <c r="C538" s="1116"/>
      <c r="D538" s="1116"/>
      <c r="E538" s="1116"/>
      <c r="F538" s="1116"/>
      <c r="G538" s="1116"/>
      <c r="H538" s="707" t="s">
        <v>239</v>
      </c>
      <c r="I538" s="707" t="s">
        <v>239</v>
      </c>
      <c r="J538" s="1145"/>
      <c r="K538" s="1145"/>
      <c r="L538" s="1145"/>
      <c r="M538" s="1145"/>
      <c r="N538" s="1145"/>
      <c r="O538" s="1145"/>
      <c r="P538" s="1145"/>
      <c r="Q538" s="1145"/>
      <c r="R538" s="1145"/>
      <c r="S538" s="1145"/>
      <c r="T538" s="1145"/>
      <c r="U538" s="1145"/>
      <c r="V538" s="1145"/>
      <c r="W538" s="1145"/>
    </row>
    <row r="539" spans="1:23" s="709" customFormat="1" ht="14.25" customHeight="1">
      <c r="A539" s="1116"/>
      <c r="B539" s="1116"/>
      <c r="C539" s="1116"/>
      <c r="D539" s="1116"/>
      <c r="E539" s="1116"/>
      <c r="F539" s="1116"/>
      <c r="G539" s="1116"/>
      <c r="H539" s="707" t="s">
        <v>239</v>
      </c>
      <c r="I539" s="707" t="s">
        <v>239</v>
      </c>
      <c r="J539" s="699">
        <f>J409+J419+J424+J429+J439+J449+J454+J459+J469+J474+J479+J484+J489+J494+J499+J504+J509+J514+J519+J524+J529+J534+J444+J464+J414+J434</f>
        <v>-11700093</v>
      </c>
      <c r="K539" s="699">
        <f t="shared" ref="K539:W539" si="110">K409+K419+K424+K429+K439+K449+K454+K459+K469+K474+K479+K484+K489+K494+K499+K504+K509+K514+K519+K524+K529+K534+K444+K464+K414+K434</f>
        <v>0</v>
      </c>
      <c r="L539" s="699">
        <f t="shared" si="110"/>
        <v>0</v>
      </c>
      <c r="M539" s="699">
        <f t="shared" si="110"/>
        <v>0</v>
      </c>
      <c r="N539" s="699">
        <f t="shared" si="110"/>
        <v>-11700093</v>
      </c>
      <c r="O539" s="699">
        <f t="shared" si="110"/>
        <v>-11700093</v>
      </c>
      <c r="P539" s="699">
        <f t="shared" si="110"/>
        <v>20087</v>
      </c>
      <c r="Q539" s="699">
        <f t="shared" si="110"/>
        <v>-11720180</v>
      </c>
      <c r="R539" s="699">
        <f t="shared" si="110"/>
        <v>0</v>
      </c>
      <c r="S539" s="699">
        <f t="shared" si="110"/>
        <v>0</v>
      </c>
      <c r="T539" s="699">
        <f t="shared" si="110"/>
        <v>0</v>
      </c>
      <c r="U539" s="699">
        <f t="shared" si="110"/>
        <v>0</v>
      </c>
      <c r="V539" s="699">
        <f t="shared" si="110"/>
        <v>0</v>
      </c>
      <c r="W539" s="699">
        <f t="shared" si="110"/>
        <v>0</v>
      </c>
    </row>
    <row r="540" spans="1:23" s="709" customFormat="1" ht="14.25" customHeight="1">
      <c r="A540" s="1116"/>
      <c r="B540" s="1116"/>
      <c r="C540" s="1116"/>
      <c r="D540" s="1116"/>
      <c r="E540" s="1116"/>
      <c r="F540" s="1116"/>
      <c r="G540" s="1116"/>
      <c r="H540" s="707" t="s">
        <v>239</v>
      </c>
      <c r="I540" s="707" t="s">
        <v>239</v>
      </c>
      <c r="J540" s="1145">
        <f t="shared" ref="J540:W540" si="111">J537+J539</f>
        <v>19857956</v>
      </c>
      <c r="K540" s="1145">
        <f t="shared" si="111"/>
        <v>0</v>
      </c>
      <c r="L540" s="1145">
        <f t="shared" si="111"/>
        <v>0</v>
      </c>
      <c r="M540" s="1145">
        <f t="shared" si="111"/>
        <v>0</v>
      </c>
      <c r="N540" s="1145">
        <f t="shared" si="111"/>
        <v>19857956</v>
      </c>
      <c r="O540" s="1145">
        <f t="shared" si="111"/>
        <v>19857956</v>
      </c>
      <c r="P540" s="1145">
        <f t="shared" si="111"/>
        <v>14380757</v>
      </c>
      <c r="Q540" s="1145">
        <f t="shared" si="111"/>
        <v>5477199</v>
      </c>
      <c r="R540" s="1145">
        <f t="shared" si="111"/>
        <v>0</v>
      </c>
      <c r="S540" s="1145">
        <f t="shared" si="111"/>
        <v>0</v>
      </c>
      <c r="T540" s="1145">
        <f t="shared" si="111"/>
        <v>0</v>
      </c>
      <c r="U540" s="1145">
        <f t="shared" si="111"/>
        <v>0</v>
      </c>
      <c r="V540" s="1145">
        <f t="shared" si="111"/>
        <v>0</v>
      </c>
      <c r="W540" s="1145">
        <f t="shared" si="111"/>
        <v>0</v>
      </c>
    </row>
    <row r="541" spans="1:23" s="709" customFormat="1" ht="14.25" customHeight="1">
      <c r="A541" s="1116"/>
      <c r="B541" s="1116"/>
      <c r="C541" s="1116"/>
      <c r="D541" s="1116"/>
      <c r="E541" s="1116"/>
      <c r="F541" s="1116"/>
      <c r="G541" s="1116"/>
      <c r="H541" s="707" t="s">
        <v>239</v>
      </c>
      <c r="I541" s="707" t="s">
        <v>239</v>
      </c>
      <c r="J541" s="1145"/>
      <c r="K541" s="1145"/>
      <c r="L541" s="1145"/>
      <c r="M541" s="1145"/>
      <c r="N541" s="1145"/>
      <c r="O541" s="1145"/>
      <c r="P541" s="1145"/>
      <c r="Q541" s="1145"/>
      <c r="R541" s="1145"/>
      <c r="S541" s="1145"/>
      <c r="T541" s="1145"/>
      <c r="U541" s="1145"/>
      <c r="V541" s="1145"/>
      <c r="W541" s="1145"/>
    </row>
    <row r="542" spans="1:23" s="711" customFormat="1" ht="15.75" customHeight="1">
      <c r="A542" s="1161" t="s">
        <v>712</v>
      </c>
      <c r="B542" s="1161"/>
      <c r="C542" s="1161"/>
      <c r="D542" s="1161"/>
      <c r="E542" s="1161"/>
      <c r="F542" s="1161"/>
      <c r="G542" s="1161"/>
      <c r="H542" s="710">
        <f t="shared" ref="H542:I546" si="112">H400+H367</f>
        <v>1533168371</v>
      </c>
      <c r="I542" s="710">
        <f t="shared" si="112"/>
        <v>322609432</v>
      </c>
      <c r="J542" s="1145">
        <f t="shared" ref="J542:W542" si="113">J537+J400+J367</f>
        <v>488976069</v>
      </c>
      <c r="K542" s="1145">
        <f t="shared" si="113"/>
        <v>393327816</v>
      </c>
      <c r="L542" s="1145">
        <f t="shared" si="113"/>
        <v>187350933</v>
      </c>
      <c r="M542" s="1145">
        <f t="shared" si="113"/>
        <v>205976883</v>
      </c>
      <c r="N542" s="1145">
        <f t="shared" si="113"/>
        <v>95648253</v>
      </c>
      <c r="O542" s="1145">
        <f t="shared" si="113"/>
        <v>54492490</v>
      </c>
      <c r="P542" s="1145">
        <f t="shared" si="113"/>
        <v>29783983</v>
      </c>
      <c r="Q542" s="1145">
        <f t="shared" si="113"/>
        <v>24708507</v>
      </c>
      <c r="R542" s="1145">
        <f t="shared" si="113"/>
        <v>36859633</v>
      </c>
      <c r="S542" s="1145">
        <f t="shared" si="113"/>
        <v>9773550</v>
      </c>
      <c r="T542" s="1145">
        <f t="shared" si="113"/>
        <v>27086083</v>
      </c>
      <c r="U542" s="1145">
        <f t="shared" si="113"/>
        <v>4296130</v>
      </c>
      <c r="V542" s="1145">
        <f t="shared" si="113"/>
        <v>502351</v>
      </c>
      <c r="W542" s="1145">
        <f t="shared" si="113"/>
        <v>3793779</v>
      </c>
    </row>
    <row r="543" spans="1:23" s="712" customFormat="1" ht="15.75" customHeight="1">
      <c r="A543" s="1161"/>
      <c r="B543" s="1161"/>
      <c r="C543" s="1161"/>
      <c r="D543" s="1161"/>
      <c r="E543" s="1161"/>
      <c r="F543" s="1161"/>
      <c r="G543" s="1161"/>
      <c r="H543" s="710">
        <f t="shared" si="112"/>
        <v>1275792084</v>
      </c>
      <c r="I543" s="710">
        <f t="shared" si="112"/>
        <v>261621402</v>
      </c>
      <c r="J543" s="1145"/>
      <c r="K543" s="1145"/>
      <c r="L543" s="1145"/>
      <c r="M543" s="1145"/>
      <c r="N543" s="1145"/>
      <c r="O543" s="1145"/>
      <c r="P543" s="1145"/>
      <c r="Q543" s="1145"/>
      <c r="R543" s="1145"/>
      <c r="S543" s="1145"/>
      <c r="T543" s="1145"/>
      <c r="U543" s="1145"/>
      <c r="V543" s="1145"/>
      <c r="W543" s="1145"/>
    </row>
    <row r="544" spans="1:23" s="712" customFormat="1" ht="15.75" customHeight="1">
      <c r="A544" s="1161"/>
      <c r="B544" s="1161"/>
      <c r="C544" s="1161"/>
      <c r="D544" s="1161"/>
      <c r="E544" s="1161"/>
      <c r="F544" s="1161"/>
      <c r="G544" s="1161"/>
      <c r="H544" s="710">
        <f t="shared" si="112"/>
        <v>45145604</v>
      </c>
      <c r="I544" s="710">
        <f t="shared" si="112"/>
        <v>7165173</v>
      </c>
      <c r="J544" s="699">
        <f t="shared" ref="J544:W544" si="114">J539+J402+J369</f>
        <v>-110687203</v>
      </c>
      <c r="K544" s="699">
        <f t="shared" si="114"/>
        <v>-89805012</v>
      </c>
      <c r="L544" s="699">
        <f t="shared" si="114"/>
        <v>-24708662</v>
      </c>
      <c r="M544" s="699">
        <f t="shared" si="114"/>
        <v>-65096350</v>
      </c>
      <c r="N544" s="699">
        <f t="shared" si="114"/>
        <v>-20882191</v>
      </c>
      <c r="O544" s="699">
        <f t="shared" si="114"/>
        <v>-20806509</v>
      </c>
      <c r="P544" s="699">
        <f t="shared" si="114"/>
        <v>-3490657</v>
      </c>
      <c r="Q544" s="699">
        <f t="shared" si="114"/>
        <v>-17315852</v>
      </c>
      <c r="R544" s="699">
        <f t="shared" si="114"/>
        <v>-75682</v>
      </c>
      <c r="S544" s="699">
        <f t="shared" si="114"/>
        <v>-75682</v>
      </c>
      <c r="T544" s="699">
        <f t="shared" si="114"/>
        <v>0</v>
      </c>
      <c r="U544" s="699">
        <f t="shared" si="114"/>
        <v>0</v>
      </c>
      <c r="V544" s="699">
        <f t="shared" si="114"/>
        <v>0</v>
      </c>
      <c r="W544" s="699">
        <f t="shared" si="114"/>
        <v>0</v>
      </c>
    </row>
    <row r="545" spans="1:23" s="712" customFormat="1" ht="15.75" customHeight="1">
      <c r="A545" s="1161"/>
      <c r="B545" s="1161"/>
      <c r="C545" s="1161"/>
      <c r="D545" s="1161"/>
      <c r="E545" s="1161"/>
      <c r="F545" s="1161"/>
      <c r="G545" s="1161"/>
      <c r="H545" s="710">
        <f t="shared" si="112"/>
        <v>191288724</v>
      </c>
      <c r="I545" s="710">
        <f t="shared" si="112"/>
        <v>52423448</v>
      </c>
      <c r="J545" s="1145">
        <f t="shared" ref="J545:W545" si="115">J542+J544</f>
        <v>378288866</v>
      </c>
      <c r="K545" s="1145">
        <f t="shared" si="115"/>
        <v>303522804</v>
      </c>
      <c r="L545" s="1145">
        <f t="shared" si="115"/>
        <v>162642271</v>
      </c>
      <c r="M545" s="1145">
        <f t="shared" si="115"/>
        <v>140880533</v>
      </c>
      <c r="N545" s="1145">
        <f t="shared" si="115"/>
        <v>74766062</v>
      </c>
      <c r="O545" s="1145">
        <f t="shared" si="115"/>
        <v>33685981</v>
      </c>
      <c r="P545" s="1145">
        <f t="shared" si="115"/>
        <v>26293326</v>
      </c>
      <c r="Q545" s="1145">
        <f t="shared" si="115"/>
        <v>7392655</v>
      </c>
      <c r="R545" s="1145">
        <f t="shared" si="115"/>
        <v>36783951</v>
      </c>
      <c r="S545" s="1145">
        <f t="shared" si="115"/>
        <v>9697868</v>
      </c>
      <c r="T545" s="1145">
        <f t="shared" si="115"/>
        <v>27086083</v>
      </c>
      <c r="U545" s="1145">
        <f t="shared" si="115"/>
        <v>4296130</v>
      </c>
      <c r="V545" s="1145">
        <f t="shared" si="115"/>
        <v>502351</v>
      </c>
      <c r="W545" s="1145">
        <f t="shared" si="115"/>
        <v>3793779</v>
      </c>
    </row>
    <row r="546" spans="1:23" s="712" customFormat="1" ht="15.75" customHeight="1">
      <c r="A546" s="1161"/>
      <c r="B546" s="1161"/>
      <c r="C546" s="1161"/>
      <c r="D546" s="1161"/>
      <c r="E546" s="1161"/>
      <c r="F546" s="1161"/>
      <c r="G546" s="1161"/>
      <c r="H546" s="710">
        <f t="shared" si="112"/>
        <v>20941959</v>
      </c>
      <c r="I546" s="710">
        <f t="shared" si="112"/>
        <v>1399409</v>
      </c>
      <c r="J546" s="1145"/>
      <c r="K546" s="1145"/>
      <c r="L546" s="1145"/>
      <c r="M546" s="1145"/>
      <c r="N546" s="1145"/>
      <c r="O546" s="1145"/>
      <c r="P546" s="1145"/>
      <c r="Q546" s="1145"/>
      <c r="R546" s="1145"/>
      <c r="S546" s="1145"/>
      <c r="T546" s="1145"/>
      <c r="U546" s="1145"/>
      <c r="V546" s="1145"/>
      <c r="W546" s="1145"/>
    </row>
  </sheetData>
  <sheetProtection password="C25B" sheet="1"/>
  <mergeCells count="3688">
    <mergeCell ref="V545:V546"/>
    <mergeCell ref="W545:W546"/>
    <mergeCell ref="P545:P546"/>
    <mergeCell ref="Q545:Q546"/>
    <mergeCell ref="R545:R546"/>
    <mergeCell ref="S545:S546"/>
    <mergeCell ref="T545:T546"/>
    <mergeCell ref="U545:U546"/>
    <mergeCell ref="T542:T543"/>
    <mergeCell ref="U542:U543"/>
    <mergeCell ref="V542:V543"/>
    <mergeCell ref="W542:W543"/>
    <mergeCell ref="J545:J546"/>
    <mergeCell ref="K545:K546"/>
    <mergeCell ref="L545:L546"/>
    <mergeCell ref="M545:M546"/>
    <mergeCell ref="N545:N546"/>
    <mergeCell ref="O545:O546"/>
    <mergeCell ref="N542:N543"/>
    <mergeCell ref="O542:O543"/>
    <mergeCell ref="P542:P543"/>
    <mergeCell ref="Q542:Q543"/>
    <mergeCell ref="R542:R543"/>
    <mergeCell ref="S542:S543"/>
    <mergeCell ref="S540:S541"/>
    <mergeCell ref="T540:T541"/>
    <mergeCell ref="U540:U541"/>
    <mergeCell ref="V540:V541"/>
    <mergeCell ref="W540:W541"/>
    <mergeCell ref="A542:G546"/>
    <mergeCell ref="J542:J543"/>
    <mergeCell ref="K542:K543"/>
    <mergeCell ref="L542:L543"/>
    <mergeCell ref="M542:M543"/>
    <mergeCell ref="W537:W538"/>
    <mergeCell ref="J540:J541"/>
    <mergeCell ref="K540:K541"/>
    <mergeCell ref="L540:L541"/>
    <mergeCell ref="M540:M541"/>
    <mergeCell ref="N540:N541"/>
    <mergeCell ref="O540:O541"/>
    <mergeCell ref="P540:P541"/>
    <mergeCell ref="Q540:Q541"/>
    <mergeCell ref="R540:R541"/>
    <mergeCell ref="Q537:Q538"/>
    <mergeCell ref="R537:R538"/>
    <mergeCell ref="S537:S538"/>
    <mergeCell ref="T537:T538"/>
    <mergeCell ref="U537:U538"/>
    <mergeCell ref="V537:V538"/>
    <mergeCell ref="V535:V536"/>
    <mergeCell ref="W535:W536"/>
    <mergeCell ref="A537:G541"/>
    <mergeCell ref="J537:J538"/>
    <mergeCell ref="K537:K538"/>
    <mergeCell ref="L537:L538"/>
    <mergeCell ref="M537:M538"/>
    <mergeCell ref="N537:N538"/>
    <mergeCell ref="O537:O538"/>
    <mergeCell ref="P537:P538"/>
    <mergeCell ref="P535:P536"/>
    <mergeCell ref="Q535:Q536"/>
    <mergeCell ref="R535:R536"/>
    <mergeCell ref="S535:S536"/>
    <mergeCell ref="T535:T536"/>
    <mergeCell ref="U535:U536"/>
    <mergeCell ref="T532:T533"/>
    <mergeCell ref="U532:U533"/>
    <mergeCell ref="V532:V533"/>
    <mergeCell ref="W532:W533"/>
    <mergeCell ref="J535:J536"/>
    <mergeCell ref="K535:K536"/>
    <mergeCell ref="L535:L536"/>
    <mergeCell ref="M535:M536"/>
    <mergeCell ref="N535:N536"/>
    <mergeCell ref="O535:O536"/>
    <mergeCell ref="N532:N533"/>
    <mergeCell ref="O532:O533"/>
    <mergeCell ref="P532:P533"/>
    <mergeCell ref="Q532:Q533"/>
    <mergeCell ref="R532:R533"/>
    <mergeCell ref="S532:S533"/>
    <mergeCell ref="F532:F536"/>
    <mergeCell ref="G532:G536"/>
    <mergeCell ref="J532:J533"/>
    <mergeCell ref="K532:K533"/>
    <mergeCell ref="L532:L533"/>
    <mergeCell ref="M532:M533"/>
    <mergeCell ref="S530:S531"/>
    <mergeCell ref="T530:T531"/>
    <mergeCell ref="U530:U531"/>
    <mergeCell ref="V530:V531"/>
    <mergeCell ref="W530:W531"/>
    <mergeCell ref="A532:A536"/>
    <mergeCell ref="B532:B536"/>
    <mergeCell ref="C532:C536"/>
    <mergeCell ref="D532:D536"/>
    <mergeCell ref="E532:E536"/>
    <mergeCell ref="W527:W528"/>
    <mergeCell ref="J530:J531"/>
    <mergeCell ref="K530:K531"/>
    <mergeCell ref="L530:L531"/>
    <mergeCell ref="M530:M531"/>
    <mergeCell ref="N530:N531"/>
    <mergeCell ref="O530:O531"/>
    <mergeCell ref="P530:P531"/>
    <mergeCell ref="Q530:Q531"/>
    <mergeCell ref="R530:R531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V525:V526"/>
    <mergeCell ref="W525:W526"/>
    <mergeCell ref="A527:A531"/>
    <mergeCell ref="B527:B531"/>
    <mergeCell ref="C527:C531"/>
    <mergeCell ref="D527:D531"/>
    <mergeCell ref="E527:E531"/>
    <mergeCell ref="F527:F531"/>
    <mergeCell ref="G527:G531"/>
    <mergeCell ref="J527:J528"/>
    <mergeCell ref="P525:P526"/>
    <mergeCell ref="Q525:Q526"/>
    <mergeCell ref="R525:R526"/>
    <mergeCell ref="S525:S526"/>
    <mergeCell ref="T525:T526"/>
    <mergeCell ref="U525:U526"/>
    <mergeCell ref="T522:T523"/>
    <mergeCell ref="U522:U523"/>
    <mergeCell ref="V522:V523"/>
    <mergeCell ref="W522:W523"/>
    <mergeCell ref="J525:J526"/>
    <mergeCell ref="K525:K526"/>
    <mergeCell ref="L525:L526"/>
    <mergeCell ref="M525:M526"/>
    <mergeCell ref="N525:N526"/>
    <mergeCell ref="O525:O526"/>
    <mergeCell ref="N522:N523"/>
    <mergeCell ref="O522:O523"/>
    <mergeCell ref="P522:P523"/>
    <mergeCell ref="Q522:Q523"/>
    <mergeCell ref="R522:R523"/>
    <mergeCell ref="S522:S523"/>
    <mergeCell ref="F522:F526"/>
    <mergeCell ref="G522:G526"/>
    <mergeCell ref="J522:J523"/>
    <mergeCell ref="K522:K523"/>
    <mergeCell ref="L522:L523"/>
    <mergeCell ref="M522:M523"/>
    <mergeCell ref="S520:S521"/>
    <mergeCell ref="T520:T521"/>
    <mergeCell ref="U520:U521"/>
    <mergeCell ref="V520:V521"/>
    <mergeCell ref="W520:W521"/>
    <mergeCell ref="A522:A526"/>
    <mergeCell ref="B522:B526"/>
    <mergeCell ref="C522:C526"/>
    <mergeCell ref="D522:D526"/>
    <mergeCell ref="E522:E526"/>
    <mergeCell ref="W517:W518"/>
    <mergeCell ref="J520:J521"/>
    <mergeCell ref="K520:K521"/>
    <mergeCell ref="L520:L521"/>
    <mergeCell ref="M520:M521"/>
    <mergeCell ref="N520:N521"/>
    <mergeCell ref="O520:O521"/>
    <mergeCell ref="P520:P521"/>
    <mergeCell ref="Q520:Q521"/>
    <mergeCell ref="R520:R521"/>
    <mergeCell ref="Q517:Q518"/>
    <mergeCell ref="R517:R518"/>
    <mergeCell ref="S517:S518"/>
    <mergeCell ref="T517:T518"/>
    <mergeCell ref="U517:U518"/>
    <mergeCell ref="V517:V518"/>
    <mergeCell ref="K517:K518"/>
    <mergeCell ref="L517:L518"/>
    <mergeCell ref="M517:M518"/>
    <mergeCell ref="N517:N518"/>
    <mergeCell ref="O517:O518"/>
    <mergeCell ref="P517:P518"/>
    <mergeCell ref="V515:V516"/>
    <mergeCell ref="W515:W516"/>
    <mergeCell ref="A517:A521"/>
    <mergeCell ref="B517:B521"/>
    <mergeCell ref="C517:C521"/>
    <mergeCell ref="D517:D521"/>
    <mergeCell ref="E517:E521"/>
    <mergeCell ref="F517:F521"/>
    <mergeCell ref="G517:G521"/>
    <mergeCell ref="J517:J518"/>
    <mergeCell ref="P515:P516"/>
    <mergeCell ref="Q515:Q516"/>
    <mergeCell ref="R515:R516"/>
    <mergeCell ref="S515:S516"/>
    <mergeCell ref="T515:T516"/>
    <mergeCell ref="U515:U516"/>
    <mergeCell ref="T512:T513"/>
    <mergeCell ref="U512:U513"/>
    <mergeCell ref="V512:V513"/>
    <mergeCell ref="W512:W513"/>
    <mergeCell ref="J515:J516"/>
    <mergeCell ref="K515:K516"/>
    <mergeCell ref="L515:L516"/>
    <mergeCell ref="M515:M516"/>
    <mergeCell ref="N515:N516"/>
    <mergeCell ref="O515:O516"/>
    <mergeCell ref="N512:N513"/>
    <mergeCell ref="O512:O513"/>
    <mergeCell ref="P512:P513"/>
    <mergeCell ref="Q512:Q513"/>
    <mergeCell ref="R512:R513"/>
    <mergeCell ref="S512:S513"/>
    <mergeCell ref="F512:F516"/>
    <mergeCell ref="G512:G516"/>
    <mergeCell ref="J512:J513"/>
    <mergeCell ref="K512:K513"/>
    <mergeCell ref="L512:L513"/>
    <mergeCell ref="M512:M513"/>
    <mergeCell ref="S510:S511"/>
    <mergeCell ref="T510:T511"/>
    <mergeCell ref="U510:U511"/>
    <mergeCell ref="V510:V511"/>
    <mergeCell ref="W510:W511"/>
    <mergeCell ref="A512:A516"/>
    <mergeCell ref="B512:B516"/>
    <mergeCell ref="C512:C516"/>
    <mergeCell ref="D512:D516"/>
    <mergeCell ref="E512:E516"/>
    <mergeCell ref="W507:W508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Q507:Q508"/>
    <mergeCell ref="R507:R508"/>
    <mergeCell ref="S507:S508"/>
    <mergeCell ref="T507:T508"/>
    <mergeCell ref="U507:U508"/>
    <mergeCell ref="V507:V508"/>
    <mergeCell ref="K507:K508"/>
    <mergeCell ref="L507:L508"/>
    <mergeCell ref="M507:M508"/>
    <mergeCell ref="N507:N508"/>
    <mergeCell ref="O507:O508"/>
    <mergeCell ref="P507:P508"/>
    <mergeCell ref="V505:V506"/>
    <mergeCell ref="W505:W506"/>
    <mergeCell ref="A507:A511"/>
    <mergeCell ref="B507:B511"/>
    <mergeCell ref="C507:C511"/>
    <mergeCell ref="D507:D511"/>
    <mergeCell ref="E507:E511"/>
    <mergeCell ref="F507:F511"/>
    <mergeCell ref="G507:G511"/>
    <mergeCell ref="J507:J508"/>
    <mergeCell ref="P505:P506"/>
    <mergeCell ref="Q505:Q506"/>
    <mergeCell ref="R505:R506"/>
    <mergeCell ref="S505:S506"/>
    <mergeCell ref="T505:T506"/>
    <mergeCell ref="U505:U506"/>
    <mergeCell ref="T502:T503"/>
    <mergeCell ref="U502:U503"/>
    <mergeCell ref="V502:V503"/>
    <mergeCell ref="W502:W503"/>
    <mergeCell ref="J505:J506"/>
    <mergeCell ref="K505:K506"/>
    <mergeCell ref="L505:L506"/>
    <mergeCell ref="M505:M506"/>
    <mergeCell ref="N505:N506"/>
    <mergeCell ref="O505:O506"/>
    <mergeCell ref="N502:N503"/>
    <mergeCell ref="O502:O503"/>
    <mergeCell ref="P502:P503"/>
    <mergeCell ref="Q502:Q503"/>
    <mergeCell ref="R502:R503"/>
    <mergeCell ref="S502:S503"/>
    <mergeCell ref="F502:F506"/>
    <mergeCell ref="G502:G506"/>
    <mergeCell ref="J502:J503"/>
    <mergeCell ref="K502:K503"/>
    <mergeCell ref="L502:L503"/>
    <mergeCell ref="M502:M503"/>
    <mergeCell ref="S500:S501"/>
    <mergeCell ref="T500:T501"/>
    <mergeCell ref="U500:U501"/>
    <mergeCell ref="V500:V501"/>
    <mergeCell ref="W500:W501"/>
    <mergeCell ref="A502:A506"/>
    <mergeCell ref="B502:B506"/>
    <mergeCell ref="C502:C506"/>
    <mergeCell ref="D502:D506"/>
    <mergeCell ref="E502:E506"/>
    <mergeCell ref="W497:W498"/>
    <mergeCell ref="J500:J501"/>
    <mergeCell ref="K500:K501"/>
    <mergeCell ref="L500:L501"/>
    <mergeCell ref="M500:M501"/>
    <mergeCell ref="N500:N501"/>
    <mergeCell ref="O500:O501"/>
    <mergeCell ref="P500:P501"/>
    <mergeCell ref="Q500:Q501"/>
    <mergeCell ref="R500:R501"/>
    <mergeCell ref="Q497:Q498"/>
    <mergeCell ref="R497:R498"/>
    <mergeCell ref="S497:S498"/>
    <mergeCell ref="T497:T498"/>
    <mergeCell ref="U497:U498"/>
    <mergeCell ref="V497:V498"/>
    <mergeCell ref="K497:K498"/>
    <mergeCell ref="L497:L498"/>
    <mergeCell ref="M497:M498"/>
    <mergeCell ref="N497:N498"/>
    <mergeCell ref="O497:O498"/>
    <mergeCell ref="P497:P498"/>
    <mergeCell ref="V495:V496"/>
    <mergeCell ref="W495:W496"/>
    <mergeCell ref="A497:A501"/>
    <mergeCell ref="B497:B501"/>
    <mergeCell ref="C497:C501"/>
    <mergeCell ref="D497:D501"/>
    <mergeCell ref="E497:E501"/>
    <mergeCell ref="F497:F501"/>
    <mergeCell ref="G497:G501"/>
    <mergeCell ref="J497:J498"/>
    <mergeCell ref="P495:P496"/>
    <mergeCell ref="Q495:Q496"/>
    <mergeCell ref="R495:R496"/>
    <mergeCell ref="S495:S496"/>
    <mergeCell ref="T495:T496"/>
    <mergeCell ref="U495:U496"/>
    <mergeCell ref="T492:T493"/>
    <mergeCell ref="U492:U493"/>
    <mergeCell ref="V492:V493"/>
    <mergeCell ref="W492:W493"/>
    <mergeCell ref="J495:J496"/>
    <mergeCell ref="K495:K496"/>
    <mergeCell ref="L495:L496"/>
    <mergeCell ref="M495:M496"/>
    <mergeCell ref="N495:N496"/>
    <mergeCell ref="O495:O496"/>
    <mergeCell ref="N492:N493"/>
    <mergeCell ref="O492:O493"/>
    <mergeCell ref="P492:P493"/>
    <mergeCell ref="Q492:Q493"/>
    <mergeCell ref="R492:R493"/>
    <mergeCell ref="S492:S493"/>
    <mergeCell ref="F492:F496"/>
    <mergeCell ref="G492:G496"/>
    <mergeCell ref="J492:J493"/>
    <mergeCell ref="K492:K493"/>
    <mergeCell ref="L492:L493"/>
    <mergeCell ref="M492:M493"/>
    <mergeCell ref="S490:S491"/>
    <mergeCell ref="T490:T491"/>
    <mergeCell ref="U490:U491"/>
    <mergeCell ref="V490:V491"/>
    <mergeCell ref="W490:W491"/>
    <mergeCell ref="A492:A496"/>
    <mergeCell ref="B492:B496"/>
    <mergeCell ref="C492:C496"/>
    <mergeCell ref="D492:D496"/>
    <mergeCell ref="E492:E496"/>
    <mergeCell ref="W487:W488"/>
    <mergeCell ref="J490:J491"/>
    <mergeCell ref="K490:K491"/>
    <mergeCell ref="L490:L491"/>
    <mergeCell ref="M490:M491"/>
    <mergeCell ref="N490:N491"/>
    <mergeCell ref="O490:O491"/>
    <mergeCell ref="P490:P491"/>
    <mergeCell ref="Q490:Q491"/>
    <mergeCell ref="R490:R491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V485:V486"/>
    <mergeCell ref="W485:W486"/>
    <mergeCell ref="A487:A491"/>
    <mergeCell ref="B487:B491"/>
    <mergeCell ref="C487:C491"/>
    <mergeCell ref="D487:D491"/>
    <mergeCell ref="E487:E491"/>
    <mergeCell ref="F487:F491"/>
    <mergeCell ref="G487:G491"/>
    <mergeCell ref="J487:J488"/>
    <mergeCell ref="P485:P486"/>
    <mergeCell ref="Q485:Q486"/>
    <mergeCell ref="R485:R486"/>
    <mergeCell ref="S485:S486"/>
    <mergeCell ref="T485:T486"/>
    <mergeCell ref="U485:U486"/>
    <mergeCell ref="T482:T483"/>
    <mergeCell ref="U482:U483"/>
    <mergeCell ref="V482:V483"/>
    <mergeCell ref="W482:W483"/>
    <mergeCell ref="J485:J486"/>
    <mergeCell ref="K485:K486"/>
    <mergeCell ref="L485:L486"/>
    <mergeCell ref="M485:M486"/>
    <mergeCell ref="N485:N486"/>
    <mergeCell ref="O485:O486"/>
    <mergeCell ref="N482:N483"/>
    <mergeCell ref="O482:O483"/>
    <mergeCell ref="P482:P483"/>
    <mergeCell ref="Q482:Q483"/>
    <mergeCell ref="R482:R483"/>
    <mergeCell ref="S482:S483"/>
    <mergeCell ref="F482:F486"/>
    <mergeCell ref="G482:G486"/>
    <mergeCell ref="J482:J483"/>
    <mergeCell ref="K482:K483"/>
    <mergeCell ref="L482:L483"/>
    <mergeCell ref="M482:M483"/>
    <mergeCell ref="S480:S481"/>
    <mergeCell ref="T480:T481"/>
    <mergeCell ref="U480:U481"/>
    <mergeCell ref="V480:V481"/>
    <mergeCell ref="W480:W481"/>
    <mergeCell ref="A482:A486"/>
    <mergeCell ref="B482:B486"/>
    <mergeCell ref="C482:C486"/>
    <mergeCell ref="D482:D486"/>
    <mergeCell ref="E482:E486"/>
    <mergeCell ref="W477:W478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Q477:Q478"/>
    <mergeCell ref="R477:R478"/>
    <mergeCell ref="S477:S478"/>
    <mergeCell ref="T477:T478"/>
    <mergeCell ref="U477:U478"/>
    <mergeCell ref="V477:V478"/>
    <mergeCell ref="K477:K478"/>
    <mergeCell ref="L477:L478"/>
    <mergeCell ref="M477:M478"/>
    <mergeCell ref="N477:N478"/>
    <mergeCell ref="O477:O478"/>
    <mergeCell ref="P477:P478"/>
    <mergeCell ref="V475:V476"/>
    <mergeCell ref="W475:W476"/>
    <mergeCell ref="A477:A481"/>
    <mergeCell ref="B477:B481"/>
    <mergeCell ref="C477:C481"/>
    <mergeCell ref="D477:D481"/>
    <mergeCell ref="E477:E481"/>
    <mergeCell ref="F477:F481"/>
    <mergeCell ref="G477:G481"/>
    <mergeCell ref="J477:J478"/>
    <mergeCell ref="P475:P476"/>
    <mergeCell ref="Q475:Q476"/>
    <mergeCell ref="R475:R476"/>
    <mergeCell ref="S475:S476"/>
    <mergeCell ref="T475:T476"/>
    <mergeCell ref="U475:U476"/>
    <mergeCell ref="T472:T473"/>
    <mergeCell ref="U472:U473"/>
    <mergeCell ref="V472:V473"/>
    <mergeCell ref="W472:W473"/>
    <mergeCell ref="J475:J476"/>
    <mergeCell ref="K475:K476"/>
    <mergeCell ref="L475:L476"/>
    <mergeCell ref="M475:M476"/>
    <mergeCell ref="N475:N476"/>
    <mergeCell ref="O475:O476"/>
    <mergeCell ref="N472:N473"/>
    <mergeCell ref="O472:O473"/>
    <mergeCell ref="P472:P473"/>
    <mergeCell ref="Q472:Q473"/>
    <mergeCell ref="R472:R473"/>
    <mergeCell ref="S472:S473"/>
    <mergeCell ref="F472:F476"/>
    <mergeCell ref="G472:G476"/>
    <mergeCell ref="J472:J473"/>
    <mergeCell ref="K472:K473"/>
    <mergeCell ref="L472:L473"/>
    <mergeCell ref="M472:M473"/>
    <mergeCell ref="S470:S471"/>
    <mergeCell ref="T470:T471"/>
    <mergeCell ref="U470:U471"/>
    <mergeCell ref="V470:V471"/>
    <mergeCell ref="W470:W471"/>
    <mergeCell ref="A472:A476"/>
    <mergeCell ref="B472:B476"/>
    <mergeCell ref="C472:C476"/>
    <mergeCell ref="D472:D476"/>
    <mergeCell ref="E472:E476"/>
    <mergeCell ref="W467:W468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Q467:Q468"/>
    <mergeCell ref="R467:R468"/>
    <mergeCell ref="S467:S468"/>
    <mergeCell ref="T467:T468"/>
    <mergeCell ref="U467:U468"/>
    <mergeCell ref="V467:V468"/>
    <mergeCell ref="K467:K468"/>
    <mergeCell ref="L467:L468"/>
    <mergeCell ref="M467:M468"/>
    <mergeCell ref="N467:N468"/>
    <mergeCell ref="O467:O468"/>
    <mergeCell ref="P467:P468"/>
    <mergeCell ref="V465:V466"/>
    <mergeCell ref="W465:W466"/>
    <mergeCell ref="A467:A471"/>
    <mergeCell ref="B467:B471"/>
    <mergeCell ref="C467:C471"/>
    <mergeCell ref="D467:D471"/>
    <mergeCell ref="E467:E471"/>
    <mergeCell ref="F467:F471"/>
    <mergeCell ref="G467:G471"/>
    <mergeCell ref="J467:J468"/>
    <mergeCell ref="P465:P466"/>
    <mergeCell ref="Q465:Q466"/>
    <mergeCell ref="R465:R466"/>
    <mergeCell ref="S465:S466"/>
    <mergeCell ref="T465:T466"/>
    <mergeCell ref="U465:U466"/>
    <mergeCell ref="T462:T463"/>
    <mergeCell ref="U462:U463"/>
    <mergeCell ref="V462:V463"/>
    <mergeCell ref="W462:W463"/>
    <mergeCell ref="J465:J466"/>
    <mergeCell ref="K465:K466"/>
    <mergeCell ref="L465:L466"/>
    <mergeCell ref="M465:M466"/>
    <mergeCell ref="N465:N466"/>
    <mergeCell ref="O465:O466"/>
    <mergeCell ref="N462:N463"/>
    <mergeCell ref="O462:O463"/>
    <mergeCell ref="P462:P463"/>
    <mergeCell ref="Q462:Q463"/>
    <mergeCell ref="R462:R463"/>
    <mergeCell ref="S462:S463"/>
    <mergeCell ref="F462:F466"/>
    <mergeCell ref="G462:G466"/>
    <mergeCell ref="J462:J463"/>
    <mergeCell ref="K462:K463"/>
    <mergeCell ref="L462:L463"/>
    <mergeCell ref="M462:M463"/>
    <mergeCell ref="S460:S461"/>
    <mergeCell ref="T460:T461"/>
    <mergeCell ref="U460:U461"/>
    <mergeCell ref="V460:V461"/>
    <mergeCell ref="W460:W461"/>
    <mergeCell ref="A462:A466"/>
    <mergeCell ref="B462:B466"/>
    <mergeCell ref="C462:C466"/>
    <mergeCell ref="D462:D466"/>
    <mergeCell ref="E462:E466"/>
    <mergeCell ref="W457:W458"/>
    <mergeCell ref="J460:J461"/>
    <mergeCell ref="K460:K461"/>
    <mergeCell ref="L460:L461"/>
    <mergeCell ref="M460:M461"/>
    <mergeCell ref="N460:N461"/>
    <mergeCell ref="O460:O461"/>
    <mergeCell ref="P460:P461"/>
    <mergeCell ref="Q460:Q461"/>
    <mergeCell ref="R460:R461"/>
    <mergeCell ref="Q457:Q458"/>
    <mergeCell ref="R457:R458"/>
    <mergeCell ref="S457:S458"/>
    <mergeCell ref="T457:T458"/>
    <mergeCell ref="U457:U458"/>
    <mergeCell ref="V457:V458"/>
    <mergeCell ref="K457:K458"/>
    <mergeCell ref="L457:L458"/>
    <mergeCell ref="M457:M458"/>
    <mergeCell ref="N457:N458"/>
    <mergeCell ref="O457:O458"/>
    <mergeCell ref="P457:P458"/>
    <mergeCell ref="V455:V456"/>
    <mergeCell ref="W455:W456"/>
    <mergeCell ref="A457:A461"/>
    <mergeCell ref="B457:B461"/>
    <mergeCell ref="C457:C461"/>
    <mergeCell ref="D457:D461"/>
    <mergeCell ref="E457:E461"/>
    <mergeCell ref="F457:F461"/>
    <mergeCell ref="G457:G461"/>
    <mergeCell ref="J457:J458"/>
    <mergeCell ref="P455:P456"/>
    <mergeCell ref="Q455:Q456"/>
    <mergeCell ref="R455:R456"/>
    <mergeCell ref="S455:S456"/>
    <mergeCell ref="T455:T456"/>
    <mergeCell ref="U455:U456"/>
    <mergeCell ref="T452:T453"/>
    <mergeCell ref="U452:U453"/>
    <mergeCell ref="V452:V453"/>
    <mergeCell ref="W452:W453"/>
    <mergeCell ref="J455:J456"/>
    <mergeCell ref="K455:K456"/>
    <mergeCell ref="L455:L456"/>
    <mergeCell ref="M455:M456"/>
    <mergeCell ref="N455:N456"/>
    <mergeCell ref="O455:O456"/>
    <mergeCell ref="N452:N453"/>
    <mergeCell ref="O452:O453"/>
    <mergeCell ref="P452:P453"/>
    <mergeCell ref="Q452:Q453"/>
    <mergeCell ref="R452:R453"/>
    <mergeCell ref="S452:S453"/>
    <mergeCell ref="F452:F456"/>
    <mergeCell ref="G452:G456"/>
    <mergeCell ref="J452:J453"/>
    <mergeCell ref="K452:K453"/>
    <mergeCell ref="L452:L453"/>
    <mergeCell ref="M452:M453"/>
    <mergeCell ref="S450:S451"/>
    <mergeCell ref="T450:T451"/>
    <mergeCell ref="U450:U451"/>
    <mergeCell ref="V450:V451"/>
    <mergeCell ref="W450:W451"/>
    <mergeCell ref="A452:A456"/>
    <mergeCell ref="B452:B456"/>
    <mergeCell ref="C452:C456"/>
    <mergeCell ref="D452:D456"/>
    <mergeCell ref="E452:E456"/>
    <mergeCell ref="W447:W448"/>
    <mergeCell ref="J450:J451"/>
    <mergeCell ref="K450:K451"/>
    <mergeCell ref="L450:L451"/>
    <mergeCell ref="M450:M451"/>
    <mergeCell ref="N450:N451"/>
    <mergeCell ref="O450:O451"/>
    <mergeCell ref="P450:P451"/>
    <mergeCell ref="Q450:Q451"/>
    <mergeCell ref="R450:R451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V445:V446"/>
    <mergeCell ref="W445:W446"/>
    <mergeCell ref="A447:A451"/>
    <mergeCell ref="B447:B451"/>
    <mergeCell ref="C447:C451"/>
    <mergeCell ref="D447:D451"/>
    <mergeCell ref="E447:E451"/>
    <mergeCell ref="F447:F451"/>
    <mergeCell ref="G447:G451"/>
    <mergeCell ref="J447:J448"/>
    <mergeCell ref="P445:P446"/>
    <mergeCell ref="Q445:Q446"/>
    <mergeCell ref="R445:R446"/>
    <mergeCell ref="S445:S446"/>
    <mergeCell ref="T445:T446"/>
    <mergeCell ref="U445:U446"/>
    <mergeCell ref="T442:T443"/>
    <mergeCell ref="U442:U443"/>
    <mergeCell ref="V442:V443"/>
    <mergeCell ref="W442:W443"/>
    <mergeCell ref="J445:J446"/>
    <mergeCell ref="K445:K446"/>
    <mergeCell ref="L445:L446"/>
    <mergeCell ref="M445:M446"/>
    <mergeCell ref="N445:N446"/>
    <mergeCell ref="O445:O446"/>
    <mergeCell ref="N442:N443"/>
    <mergeCell ref="O442:O443"/>
    <mergeCell ref="P442:P443"/>
    <mergeCell ref="Q442:Q443"/>
    <mergeCell ref="R442:R443"/>
    <mergeCell ref="S442:S443"/>
    <mergeCell ref="F442:F446"/>
    <mergeCell ref="G442:G446"/>
    <mergeCell ref="J442:J443"/>
    <mergeCell ref="K442:K443"/>
    <mergeCell ref="L442:L443"/>
    <mergeCell ref="M442:M443"/>
    <mergeCell ref="S440:S441"/>
    <mergeCell ref="T440:T441"/>
    <mergeCell ref="U440:U441"/>
    <mergeCell ref="V440:V441"/>
    <mergeCell ref="W440:W441"/>
    <mergeCell ref="A442:A446"/>
    <mergeCell ref="B442:B446"/>
    <mergeCell ref="C442:C446"/>
    <mergeCell ref="D442:D446"/>
    <mergeCell ref="E442:E446"/>
    <mergeCell ref="W437:W438"/>
    <mergeCell ref="J440:J441"/>
    <mergeCell ref="K440:K441"/>
    <mergeCell ref="L440:L441"/>
    <mergeCell ref="M440:M441"/>
    <mergeCell ref="N440:N441"/>
    <mergeCell ref="O440:O441"/>
    <mergeCell ref="P440:P441"/>
    <mergeCell ref="Q440:Q441"/>
    <mergeCell ref="R440:R441"/>
    <mergeCell ref="Q437:Q438"/>
    <mergeCell ref="R437:R438"/>
    <mergeCell ref="S437:S438"/>
    <mergeCell ref="T437:T438"/>
    <mergeCell ref="U437:U438"/>
    <mergeCell ref="V437:V438"/>
    <mergeCell ref="K437:K438"/>
    <mergeCell ref="L437:L438"/>
    <mergeCell ref="M437:M438"/>
    <mergeCell ref="N437:N438"/>
    <mergeCell ref="O437:O438"/>
    <mergeCell ref="P437:P438"/>
    <mergeCell ref="V435:V436"/>
    <mergeCell ref="W435:W436"/>
    <mergeCell ref="A437:A441"/>
    <mergeCell ref="B437:B441"/>
    <mergeCell ref="C437:C441"/>
    <mergeCell ref="D437:D441"/>
    <mergeCell ref="E437:E441"/>
    <mergeCell ref="F437:F441"/>
    <mergeCell ref="G437:G441"/>
    <mergeCell ref="J437:J438"/>
    <mergeCell ref="P435:P436"/>
    <mergeCell ref="Q435:Q436"/>
    <mergeCell ref="R435:R436"/>
    <mergeCell ref="S435:S436"/>
    <mergeCell ref="T435:T436"/>
    <mergeCell ref="U435:U436"/>
    <mergeCell ref="T432:T433"/>
    <mergeCell ref="U432:U433"/>
    <mergeCell ref="V432:V433"/>
    <mergeCell ref="W432:W433"/>
    <mergeCell ref="J435:J436"/>
    <mergeCell ref="K435:K436"/>
    <mergeCell ref="L435:L436"/>
    <mergeCell ref="M435:M436"/>
    <mergeCell ref="N435:N436"/>
    <mergeCell ref="O435:O436"/>
    <mergeCell ref="N432:N433"/>
    <mergeCell ref="O432:O433"/>
    <mergeCell ref="P432:P433"/>
    <mergeCell ref="Q432:Q433"/>
    <mergeCell ref="R432:R433"/>
    <mergeCell ref="S432:S433"/>
    <mergeCell ref="F432:F436"/>
    <mergeCell ref="G432:G436"/>
    <mergeCell ref="J432:J433"/>
    <mergeCell ref="K432:K433"/>
    <mergeCell ref="L432:L433"/>
    <mergeCell ref="M432:M433"/>
    <mergeCell ref="S430:S431"/>
    <mergeCell ref="T430:T431"/>
    <mergeCell ref="U430:U431"/>
    <mergeCell ref="V430:V431"/>
    <mergeCell ref="W430:W431"/>
    <mergeCell ref="A432:A436"/>
    <mergeCell ref="B432:B436"/>
    <mergeCell ref="C432:C436"/>
    <mergeCell ref="D432:D436"/>
    <mergeCell ref="E432:E436"/>
    <mergeCell ref="W427:W428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Q427:Q428"/>
    <mergeCell ref="R427:R428"/>
    <mergeCell ref="S427:S428"/>
    <mergeCell ref="T427:T428"/>
    <mergeCell ref="U427:U428"/>
    <mergeCell ref="V427:V428"/>
    <mergeCell ref="K427:K428"/>
    <mergeCell ref="L427:L428"/>
    <mergeCell ref="M427:M428"/>
    <mergeCell ref="N427:N428"/>
    <mergeCell ref="O427:O428"/>
    <mergeCell ref="P427:P428"/>
    <mergeCell ref="V425:V426"/>
    <mergeCell ref="W425:W426"/>
    <mergeCell ref="A427:A431"/>
    <mergeCell ref="B427:B431"/>
    <mergeCell ref="C427:C431"/>
    <mergeCell ref="D427:D431"/>
    <mergeCell ref="E427:E431"/>
    <mergeCell ref="F427:F431"/>
    <mergeCell ref="G427:G431"/>
    <mergeCell ref="J427:J428"/>
    <mergeCell ref="P425:P426"/>
    <mergeCell ref="Q425:Q426"/>
    <mergeCell ref="R425:R426"/>
    <mergeCell ref="S425:S426"/>
    <mergeCell ref="T425:T426"/>
    <mergeCell ref="U425:U426"/>
    <mergeCell ref="T422:T423"/>
    <mergeCell ref="U422:U423"/>
    <mergeCell ref="V422:V423"/>
    <mergeCell ref="W422:W423"/>
    <mergeCell ref="J425:J426"/>
    <mergeCell ref="K425:K426"/>
    <mergeCell ref="L425:L426"/>
    <mergeCell ref="M425:M426"/>
    <mergeCell ref="N425:N426"/>
    <mergeCell ref="O425:O426"/>
    <mergeCell ref="N422:N423"/>
    <mergeCell ref="O422:O423"/>
    <mergeCell ref="P422:P423"/>
    <mergeCell ref="Q422:Q423"/>
    <mergeCell ref="R422:R423"/>
    <mergeCell ref="S422:S423"/>
    <mergeCell ref="F422:F426"/>
    <mergeCell ref="G422:G426"/>
    <mergeCell ref="J422:J423"/>
    <mergeCell ref="K422:K423"/>
    <mergeCell ref="L422:L423"/>
    <mergeCell ref="M422:M423"/>
    <mergeCell ref="S420:S421"/>
    <mergeCell ref="T420:T421"/>
    <mergeCell ref="U420:U421"/>
    <mergeCell ref="V420:V421"/>
    <mergeCell ref="W420:W421"/>
    <mergeCell ref="A422:A426"/>
    <mergeCell ref="B422:B426"/>
    <mergeCell ref="C422:C426"/>
    <mergeCell ref="D422:D426"/>
    <mergeCell ref="E422:E426"/>
    <mergeCell ref="W417:W418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Q417:Q418"/>
    <mergeCell ref="R417:R418"/>
    <mergeCell ref="S417:S418"/>
    <mergeCell ref="T417:T418"/>
    <mergeCell ref="U417:U418"/>
    <mergeCell ref="V417:V418"/>
    <mergeCell ref="K417:K418"/>
    <mergeCell ref="L417:L418"/>
    <mergeCell ref="M417:M418"/>
    <mergeCell ref="N417:N418"/>
    <mergeCell ref="O417:O418"/>
    <mergeCell ref="P417:P418"/>
    <mergeCell ref="V415:V416"/>
    <mergeCell ref="W415:W416"/>
    <mergeCell ref="A417:A421"/>
    <mergeCell ref="B417:B421"/>
    <mergeCell ref="C417:C421"/>
    <mergeCell ref="D417:D421"/>
    <mergeCell ref="E417:E421"/>
    <mergeCell ref="F417:F421"/>
    <mergeCell ref="G417:G421"/>
    <mergeCell ref="J417:J418"/>
    <mergeCell ref="P415:P416"/>
    <mergeCell ref="Q415:Q416"/>
    <mergeCell ref="R415:R416"/>
    <mergeCell ref="S415:S416"/>
    <mergeCell ref="T415:T416"/>
    <mergeCell ref="U415:U416"/>
    <mergeCell ref="J415:J416"/>
    <mergeCell ref="K415:K416"/>
    <mergeCell ref="L415:L416"/>
    <mergeCell ref="M415:M416"/>
    <mergeCell ref="N415:N416"/>
    <mergeCell ref="O415:O416"/>
    <mergeCell ref="R412:R413"/>
    <mergeCell ref="S412:S413"/>
    <mergeCell ref="T412:T413"/>
    <mergeCell ref="U412:U413"/>
    <mergeCell ref="V412:V413"/>
    <mergeCell ref="W412:W413"/>
    <mergeCell ref="L412:L413"/>
    <mergeCell ref="M412:M413"/>
    <mergeCell ref="N412:N413"/>
    <mergeCell ref="O412:O413"/>
    <mergeCell ref="P412:P413"/>
    <mergeCell ref="Q412:Q413"/>
    <mergeCell ref="W410:W411"/>
    <mergeCell ref="A412:A416"/>
    <mergeCell ref="B412:B416"/>
    <mergeCell ref="C412:C416"/>
    <mergeCell ref="D412:D416"/>
    <mergeCell ref="E412:E416"/>
    <mergeCell ref="F412:F416"/>
    <mergeCell ref="G412:G416"/>
    <mergeCell ref="J412:J413"/>
    <mergeCell ref="K412:K413"/>
    <mergeCell ref="Q410:Q411"/>
    <mergeCell ref="R410:R411"/>
    <mergeCell ref="S410:S411"/>
    <mergeCell ref="T410:T411"/>
    <mergeCell ref="U410:U411"/>
    <mergeCell ref="V410:V411"/>
    <mergeCell ref="U407:U408"/>
    <mergeCell ref="V407:V408"/>
    <mergeCell ref="W407:W408"/>
    <mergeCell ref="J410:J411"/>
    <mergeCell ref="K410:K411"/>
    <mergeCell ref="L410:L411"/>
    <mergeCell ref="M410:M411"/>
    <mergeCell ref="N410:N411"/>
    <mergeCell ref="O410:O411"/>
    <mergeCell ref="P410:P411"/>
    <mergeCell ref="O407:O408"/>
    <mergeCell ref="P407:P408"/>
    <mergeCell ref="Q407:Q408"/>
    <mergeCell ref="R407:R408"/>
    <mergeCell ref="S407:S408"/>
    <mergeCell ref="T407:T408"/>
    <mergeCell ref="G407:G411"/>
    <mergeCell ref="J407:J408"/>
    <mergeCell ref="K407:K408"/>
    <mergeCell ref="L407:L408"/>
    <mergeCell ref="M407:M408"/>
    <mergeCell ref="N407:N408"/>
    <mergeCell ref="V403:V404"/>
    <mergeCell ref="W403:W404"/>
    <mergeCell ref="A405:W405"/>
    <mergeCell ref="A406:W406"/>
    <mergeCell ref="A407:A411"/>
    <mergeCell ref="B407:B411"/>
    <mergeCell ref="C407:C411"/>
    <mergeCell ref="D407:D411"/>
    <mergeCell ref="E407:E411"/>
    <mergeCell ref="F407:F411"/>
    <mergeCell ref="P403:P404"/>
    <mergeCell ref="Q403:Q404"/>
    <mergeCell ref="R403:R404"/>
    <mergeCell ref="S403:S404"/>
    <mergeCell ref="T403:T404"/>
    <mergeCell ref="U403:U404"/>
    <mergeCell ref="T400:T401"/>
    <mergeCell ref="U400:U401"/>
    <mergeCell ref="V400:V401"/>
    <mergeCell ref="W400:W401"/>
    <mergeCell ref="J403:J404"/>
    <mergeCell ref="K403:K404"/>
    <mergeCell ref="L403:L404"/>
    <mergeCell ref="M403:M404"/>
    <mergeCell ref="N403:N404"/>
    <mergeCell ref="O403:O404"/>
    <mergeCell ref="N400:N401"/>
    <mergeCell ref="O400:O401"/>
    <mergeCell ref="P400:P401"/>
    <mergeCell ref="Q400:Q401"/>
    <mergeCell ref="R400:R401"/>
    <mergeCell ref="S400:S401"/>
    <mergeCell ref="S398:S399"/>
    <mergeCell ref="T398:T399"/>
    <mergeCell ref="U398:U399"/>
    <mergeCell ref="V398:V399"/>
    <mergeCell ref="W398:W399"/>
    <mergeCell ref="A400:G404"/>
    <mergeCell ref="J400:J401"/>
    <mergeCell ref="K400:K401"/>
    <mergeCell ref="L400:L401"/>
    <mergeCell ref="M400:M401"/>
    <mergeCell ref="W395:W396"/>
    <mergeCell ref="J398:J399"/>
    <mergeCell ref="K398:K399"/>
    <mergeCell ref="L398:L399"/>
    <mergeCell ref="M398:M399"/>
    <mergeCell ref="N398:N399"/>
    <mergeCell ref="O398:O399"/>
    <mergeCell ref="P398:P399"/>
    <mergeCell ref="Q398:Q399"/>
    <mergeCell ref="R398:R399"/>
    <mergeCell ref="Q395:Q396"/>
    <mergeCell ref="R395:R396"/>
    <mergeCell ref="S395:S396"/>
    <mergeCell ref="T395:T396"/>
    <mergeCell ref="U395:U396"/>
    <mergeCell ref="V395:V396"/>
    <mergeCell ref="K395:K396"/>
    <mergeCell ref="L395:L396"/>
    <mergeCell ref="M395:M396"/>
    <mergeCell ref="N395:N396"/>
    <mergeCell ref="O395:O396"/>
    <mergeCell ref="P395:P396"/>
    <mergeCell ref="V393:V394"/>
    <mergeCell ref="W393:W394"/>
    <mergeCell ref="A395:A399"/>
    <mergeCell ref="B395:B399"/>
    <mergeCell ref="C395:C399"/>
    <mergeCell ref="D395:D399"/>
    <mergeCell ref="E395:E399"/>
    <mergeCell ref="F395:F399"/>
    <mergeCell ref="G395:G399"/>
    <mergeCell ref="J395:J396"/>
    <mergeCell ref="P393:P394"/>
    <mergeCell ref="Q393:Q394"/>
    <mergeCell ref="R393:R394"/>
    <mergeCell ref="S393:S394"/>
    <mergeCell ref="T393:T394"/>
    <mergeCell ref="U393:U394"/>
    <mergeCell ref="T390:T391"/>
    <mergeCell ref="U390:U391"/>
    <mergeCell ref="V390:V391"/>
    <mergeCell ref="W390:W391"/>
    <mergeCell ref="J393:J394"/>
    <mergeCell ref="K393:K394"/>
    <mergeCell ref="L393:L394"/>
    <mergeCell ref="M393:M394"/>
    <mergeCell ref="N393:N394"/>
    <mergeCell ref="O393:O394"/>
    <mergeCell ref="N390:N391"/>
    <mergeCell ref="O390:O391"/>
    <mergeCell ref="P390:P391"/>
    <mergeCell ref="Q390:Q391"/>
    <mergeCell ref="R390:R391"/>
    <mergeCell ref="S390:S391"/>
    <mergeCell ref="F390:F394"/>
    <mergeCell ref="G390:G394"/>
    <mergeCell ref="J390:J391"/>
    <mergeCell ref="K390:K391"/>
    <mergeCell ref="L390:L391"/>
    <mergeCell ref="M390:M391"/>
    <mergeCell ref="S388:S389"/>
    <mergeCell ref="T388:T389"/>
    <mergeCell ref="U388:U389"/>
    <mergeCell ref="V388:V389"/>
    <mergeCell ref="W388:W389"/>
    <mergeCell ref="A390:A394"/>
    <mergeCell ref="B390:B394"/>
    <mergeCell ref="C390:C394"/>
    <mergeCell ref="D390:D394"/>
    <mergeCell ref="E390:E394"/>
    <mergeCell ref="W385:W386"/>
    <mergeCell ref="J388:J389"/>
    <mergeCell ref="K388:K389"/>
    <mergeCell ref="L388:L389"/>
    <mergeCell ref="M388:M389"/>
    <mergeCell ref="N388:N389"/>
    <mergeCell ref="O388:O389"/>
    <mergeCell ref="P388:P389"/>
    <mergeCell ref="Q388:Q389"/>
    <mergeCell ref="R388:R389"/>
    <mergeCell ref="Q385:Q386"/>
    <mergeCell ref="R385:R386"/>
    <mergeCell ref="S385:S386"/>
    <mergeCell ref="T385:T386"/>
    <mergeCell ref="U385:U386"/>
    <mergeCell ref="V385:V386"/>
    <mergeCell ref="K385:K386"/>
    <mergeCell ref="L385:L386"/>
    <mergeCell ref="M385:M386"/>
    <mergeCell ref="N385:N386"/>
    <mergeCell ref="O385:O386"/>
    <mergeCell ref="P385:P386"/>
    <mergeCell ref="V383:V384"/>
    <mergeCell ref="W383:W384"/>
    <mergeCell ref="A385:A389"/>
    <mergeCell ref="B385:B389"/>
    <mergeCell ref="C385:C389"/>
    <mergeCell ref="D385:D389"/>
    <mergeCell ref="E385:E389"/>
    <mergeCell ref="F385:F389"/>
    <mergeCell ref="G385:G389"/>
    <mergeCell ref="J385:J386"/>
    <mergeCell ref="P383:P384"/>
    <mergeCell ref="Q383:Q384"/>
    <mergeCell ref="R383:R384"/>
    <mergeCell ref="S383:S384"/>
    <mergeCell ref="T383:T384"/>
    <mergeCell ref="U383:U384"/>
    <mergeCell ref="J383:J384"/>
    <mergeCell ref="K383:K384"/>
    <mergeCell ref="L383:L384"/>
    <mergeCell ref="M383:M384"/>
    <mergeCell ref="N383:N384"/>
    <mergeCell ref="O383:O384"/>
    <mergeCell ref="R380:R381"/>
    <mergeCell ref="S380:S381"/>
    <mergeCell ref="T380:T381"/>
    <mergeCell ref="U380:U381"/>
    <mergeCell ref="V380:V381"/>
    <mergeCell ref="W380:W381"/>
    <mergeCell ref="L380:L381"/>
    <mergeCell ref="M380:M381"/>
    <mergeCell ref="N380:N381"/>
    <mergeCell ref="O380:O381"/>
    <mergeCell ref="P380:P381"/>
    <mergeCell ref="Q380:Q381"/>
    <mergeCell ref="W378:W379"/>
    <mergeCell ref="A380:A384"/>
    <mergeCell ref="B380:B384"/>
    <mergeCell ref="C380:C384"/>
    <mergeCell ref="D380:D384"/>
    <mergeCell ref="E380:E384"/>
    <mergeCell ref="F380:F384"/>
    <mergeCell ref="G380:G384"/>
    <mergeCell ref="J380:J381"/>
    <mergeCell ref="K380:K381"/>
    <mergeCell ref="Q378:Q379"/>
    <mergeCell ref="R378:R379"/>
    <mergeCell ref="S378:S379"/>
    <mergeCell ref="T378:T379"/>
    <mergeCell ref="U378:U379"/>
    <mergeCell ref="V378:V379"/>
    <mergeCell ref="U375:U376"/>
    <mergeCell ref="V375:V376"/>
    <mergeCell ref="W375:W376"/>
    <mergeCell ref="J378:J379"/>
    <mergeCell ref="K378:K379"/>
    <mergeCell ref="L378:L379"/>
    <mergeCell ref="M378:M379"/>
    <mergeCell ref="N378:N379"/>
    <mergeCell ref="O378:O379"/>
    <mergeCell ref="P378:P379"/>
    <mergeCell ref="O375:O376"/>
    <mergeCell ref="P375:P376"/>
    <mergeCell ref="Q375:Q376"/>
    <mergeCell ref="R375:R376"/>
    <mergeCell ref="S375:S376"/>
    <mergeCell ref="T375:T376"/>
    <mergeCell ref="G375:G379"/>
    <mergeCell ref="J375:J376"/>
    <mergeCell ref="K375:K376"/>
    <mergeCell ref="L375:L376"/>
    <mergeCell ref="M375:M376"/>
    <mergeCell ref="N375:N376"/>
    <mergeCell ref="V370:V371"/>
    <mergeCell ref="W370:W371"/>
    <mergeCell ref="A373:W373"/>
    <mergeCell ref="A374:W374"/>
    <mergeCell ref="A375:A379"/>
    <mergeCell ref="B375:B379"/>
    <mergeCell ref="C375:C379"/>
    <mergeCell ref="D375:D379"/>
    <mergeCell ref="E375:E379"/>
    <mergeCell ref="F375:F379"/>
    <mergeCell ref="P370:P371"/>
    <mergeCell ref="Q370:Q371"/>
    <mergeCell ref="R370:R371"/>
    <mergeCell ref="S370:S371"/>
    <mergeCell ref="T370:T371"/>
    <mergeCell ref="U370:U371"/>
    <mergeCell ref="T367:T368"/>
    <mergeCell ref="U367:U368"/>
    <mergeCell ref="V367:V368"/>
    <mergeCell ref="W367:W368"/>
    <mergeCell ref="J370:J371"/>
    <mergeCell ref="K370:K371"/>
    <mergeCell ref="L370:L371"/>
    <mergeCell ref="M370:M371"/>
    <mergeCell ref="N370:N371"/>
    <mergeCell ref="O370:O371"/>
    <mergeCell ref="N367:N368"/>
    <mergeCell ref="O367:O368"/>
    <mergeCell ref="P367:P368"/>
    <mergeCell ref="Q367:Q368"/>
    <mergeCell ref="R367:R368"/>
    <mergeCell ref="S367:S368"/>
    <mergeCell ref="S365:S366"/>
    <mergeCell ref="T365:T366"/>
    <mergeCell ref="U365:U366"/>
    <mergeCell ref="V365:V366"/>
    <mergeCell ref="W365:W366"/>
    <mergeCell ref="A367:G371"/>
    <mergeCell ref="J367:J368"/>
    <mergeCell ref="K367:K368"/>
    <mergeCell ref="L367:L368"/>
    <mergeCell ref="M367:M368"/>
    <mergeCell ref="W362:W363"/>
    <mergeCell ref="J365:J366"/>
    <mergeCell ref="K365:K366"/>
    <mergeCell ref="L365:L366"/>
    <mergeCell ref="M365:M366"/>
    <mergeCell ref="N365:N366"/>
    <mergeCell ref="O365:O366"/>
    <mergeCell ref="P365:P366"/>
    <mergeCell ref="Q365:Q366"/>
    <mergeCell ref="R365:R366"/>
    <mergeCell ref="Q362:Q363"/>
    <mergeCell ref="R362:R363"/>
    <mergeCell ref="S362:S363"/>
    <mergeCell ref="T362:T363"/>
    <mergeCell ref="U362:U363"/>
    <mergeCell ref="V362:V363"/>
    <mergeCell ref="K362:K363"/>
    <mergeCell ref="L362:L363"/>
    <mergeCell ref="M362:M363"/>
    <mergeCell ref="N362:N363"/>
    <mergeCell ref="O362:O363"/>
    <mergeCell ref="P362:P363"/>
    <mergeCell ref="V360:V361"/>
    <mergeCell ref="W360:W361"/>
    <mergeCell ref="A362:A366"/>
    <mergeCell ref="B362:B366"/>
    <mergeCell ref="C362:C366"/>
    <mergeCell ref="D362:D366"/>
    <mergeCell ref="E362:E366"/>
    <mergeCell ref="F362:F366"/>
    <mergeCell ref="G362:G366"/>
    <mergeCell ref="J362:J363"/>
    <mergeCell ref="P360:P361"/>
    <mergeCell ref="Q360:Q361"/>
    <mergeCell ref="R360:R361"/>
    <mergeCell ref="S360:S361"/>
    <mergeCell ref="T360:T361"/>
    <mergeCell ref="U360:U361"/>
    <mergeCell ref="T357:T358"/>
    <mergeCell ref="U357:U358"/>
    <mergeCell ref="V357:V358"/>
    <mergeCell ref="W357:W358"/>
    <mergeCell ref="J360:J361"/>
    <mergeCell ref="K360:K361"/>
    <mergeCell ref="L360:L361"/>
    <mergeCell ref="M360:M361"/>
    <mergeCell ref="N360:N361"/>
    <mergeCell ref="O360:O361"/>
    <mergeCell ref="N357:N358"/>
    <mergeCell ref="O357:O358"/>
    <mergeCell ref="P357:P358"/>
    <mergeCell ref="Q357:Q358"/>
    <mergeCell ref="R357:R358"/>
    <mergeCell ref="S357:S358"/>
    <mergeCell ref="F357:F361"/>
    <mergeCell ref="G357:G361"/>
    <mergeCell ref="J357:J358"/>
    <mergeCell ref="K357:K358"/>
    <mergeCell ref="L357:L358"/>
    <mergeCell ref="M357:M358"/>
    <mergeCell ref="S355:S356"/>
    <mergeCell ref="T355:T356"/>
    <mergeCell ref="U355:U356"/>
    <mergeCell ref="V355:V356"/>
    <mergeCell ref="W355:W356"/>
    <mergeCell ref="A357:A361"/>
    <mergeCell ref="B357:B361"/>
    <mergeCell ref="C357:C361"/>
    <mergeCell ref="D357:D361"/>
    <mergeCell ref="E357:E361"/>
    <mergeCell ref="W352:W353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Q352:Q353"/>
    <mergeCell ref="R352:R353"/>
    <mergeCell ref="S352:S353"/>
    <mergeCell ref="T352:T353"/>
    <mergeCell ref="U352:U353"/>
    <mergeCell ref="V352:V353"/>
    <mergeCell ref="K352:K353"/>
    <mergeCell ref="L352:L353"/>
    <mergeCell ref="M352:M353"/>
    <mergeCell ref="N352:N353"/>
    <mergeCell ref="O352:O353"/>
    <mergeCell ref="P352:P353"/>
    <mergeCell ref="V350:V351"/>
    <mergeCell ref="W350:W351"/>
    <mergeCell ref="A352:A356"/>
    <mergeCell ref="B352:B356"/>
    <mergeCell ref="C352:C356"/>
    <mergeCell ref="D352:D356"/>
    <mergeCell ref="E352:E356"/>
    <mergeCell ref="F352:F356"/>
    <mergeCell ref="G352:G356"/>
    <mergeCell ref="J352:J353"/>
    <mergeCell ref="P350:P351"/>
    <mergeCell ref="Q350:Q351"/>
    <mergeCell ref="R350:R351"/>
    <mergeCell ref="S350:S351"/>
    <mergeCell ref="T350:T351"/>
    <mergeCell ref="U350:U351"/>
    <mergeCell ref="T347:T348"/>
    <mergeCell ref="U347:U348"/>
    <mergeCell ref="V347:V348"/>
    <mergeCell ref="W347:W348"/>
    <mergeCell ref="J350:J351"/>
    <mergeCell ref="K350:K351"/>
    <mergeCell ref="L350:L351"/>
    <mergeCell ref="M350:M351"/>
    <mergeCell ref="N350:N351"/>
    <mergeCell ref="O350:O351"/>
    <mergeCell ref="N347:N348"/>
    <mergeCell ref="O347:O348"/>
    <mergeCell ref="P347:P348"/>
    <mergeCell ref="Q347:Q348"/>
    <mergeCell ref="R347:R348"/>
    <mergeCell ref="S347:S348"/>
    <mergeCell ref="F347:F351"/>
    <mergeCell ref="G347:G351"/>
    <mergeCell ref="J347:J348"/>
    <mergeCell ref="K347:K348"/>
    <mergeCell ref="L347:L348"/>
    <mergeCell ref="M347:M348"/>
    <mergeCell ref="S345:S346"/>
    <mergeCell ref="T345:T346"/>
    <mergeCell ref="U345:U346"/>
    <mergeCell ref="V345:V346"/>
    <mergeCell ref="W345:W346"/>
    <mergeCell ref="A347:A351"/>
    <mergeCell ref="B347:B351"/>
    <mergeCell ref="C347:C351"/>
    <mergeCell ref="D347:D351"/>
    <mergeCell ref="E347:E351"/>
    <mergeCell ref="W342:W343"/>
    <mergeCell ref="J345:J346"/>
    <mergeCell ref="K345:K346"/>
    <mergeCell ref="L345:L346"/>
    <mergeCell ref="M345:M346"/>
    <mergeCell ref="N345:N346"/>
    <mergeCell ref="O345:O346"/>
    <mergeCell ref="P345:P346"/>
    <mergeCell ref="Q345:Q346"/>
    <mergeCell ref="R345:R346"/>
    <mergeCell ref="Q342:Q343"/>
    <mergeCell ref="R342:R343"/>
    <mergeCell ref="S342:S343"/>
    <mergeCell ref="T342:T343"/>
    <mergeCell ref="U342:U343"/>
    <mergeCell ref="V342:V343"/>
    <mergeCell ref="K342:K343"/>
    <mergeCell ref="L342:L343"/>
    <mergeCell ref="M342:M343"/>
    <mergeCell ref="N342:N343"/>
    <mergeCell ref="O342:O343"/>
    <mergeCell ref="P342:P343"/>
    <mergeCell ref="V340:V341"/>
    <mergeCell ref="W340:W341"/>
    <mergeCell ref="A342:A346"/>
    <mergeCell ref="B342:B346"/>
    <mergeCell ref="C342:C346"/>
    <mergeCell ref="D342:D346"/>
    <mergeCell ref="E342:E346"/>
    <mergeCell ref="F342:F346"/>
    <mergeCell ref="G342:G346"/>
    <mergeCell ref="J342:J343"/>
    <mergeCell ref="P340:P341"/>
    <mergeCell ref="Q340:Q341"/>
    <mergeCell ref="R340:R341"/>
    <mergeCell ref="S340:S341"/>
    <mergeCell ref="T340:T341"/>
    <mergeCell ref="U340:U341"/>
    <mergeCell ref="T337:T338"/>
    <mergeCell ref="U337:U338"/>
    <mergeCell ref="V337:V338"/>
    <mergeCell ref="W337:W338"/>
    <mergeCell ref="J340:J341"/>
    <mergeCell ref="K340:K341"/>
    <mergeCell ref="L340:L341"/>
    <mergeCell ref="M340:M341"/>
    <mergeCell ref="N340:N341"/>
    <mergeCell ref="O340:O341"/>
    <mergeCell ref="N337:N338"/>
    <mergeCell ref="O337:O338"/>
    <mergeCell ref="P337:P338"/>
    <mergeCell ref="Q337:Q338"/>
    <mergeCell ref="R337:R338"/>
    <mergeCell ref="S337:S338"/>
    <mergeCell ref="F337:F341"/>
    <mergeCell ref="G337:G341"/>
    <mergeCell ref="J337:J338"/>
    <mergeCell ref="K337:K338"/>
    <mergeCell ref="L337:L338"/>
    <mergeCell ref="M337:M338"/>
    <mergeCell ref="S335:S336"/>
    <mergeCell ref="T335:T336"/>
    <mergeCell ref="U335:U336"/>
    <mergeCell ref="V335:V336"/>
    <mergeCell ref="W335:W336"/>
    <mergeCell ref="A337:A341"/>
    <mergeCell ref="B337:B341"/>
    <mergeCell ref="C337:C341"/>
    <mergeCell ref="D337:D341"/>
    <mergeCell ref="E337:E341"/>
    <mergeCell ref="W332:W333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Q332:Q333"/>
    <mergeCell ref="R332:R333"/>
    <mergeCell ref="S332:S333"/>
    <mergeCell ref="T332:T333"/>
    <mergeCell ref="U332:U333"/>
    <mergeCell ref="V332:V333"/>
    <mergeCell ref="K332:K333"/>
    <mergeCell ref="L332:L333"/>
    <mergeCell ref="M332:M333"/>
    <mergeCell ref="N332:N333"/>
    <mergeCell ref="O332:O333"/>
    <mergeCell ref="P332:P333"/>
    <mergeCell ref="V330:V331"/>
    <mergeCell ref="W330:W331"/>
    <mergeCell ref="A332:A336"/>
    <mergeCell ref="B332:B336"/>
    <mergeCell ref="C332:C336"/>
    <mergeCell ref="D332:D336"/>
    <mergeCell ref="E332:E336"/>
    <mergeCell ref="F332:F336"/>
    <mergeCell ref="G332:G336"/>
    <mergeCell ref="J332:J333"/>
    <mergeCell ref="P330:P331"/>
    <mergeCell ref="Q330:Q331"/>
    <mergeCell ref="R330:R331"/>
    <mergeCell ref="S330:S331"/>
    <mergeCell ref="T330:T331"/>
    <mergeCell ref="U330:U331"/>
    <mergeCell ref="T327:T328"/>
    <mergeCell ref="U327:U328"/>
    <mergeCell ref="V327:V328"/>
    <mergeCell ref="W327:W328"/>
    <mergeCell ref="J330:J331"/>
    <mergeCell ref="K330:K331"/>
    <mergeCell ref="L330:L331"/>
    <mergeCell ref="M330:M331"/>
    <mergeCell ref="N330:N331"/>
    <mergeCell ref="O330:O331"/>
    <mergeCell ref="N327:N328"/>
    <mergeCell ref="O327:O328"/>
    <mergeCell ref="P327:P328"/>
    <mergeCell ref="Q327:Q328"/>
    <mergeCell ref="R327:R328"/>
    <mergeCell ref="S327:S328"/>
    <mergeCell ref="F327:F331"/>
    <mergeCell ref="G327:G331"/>
    <mergeCell ref="J327:J328"/>
    <mergeCell ref="K327:K328"/>
    <mergeCell ref="L327:L328"/>
    <mergeCell ref="M327:M328"/>
    <mergeCell ref="S325:S326"/>
    <mergeCell ref="T325:T326"/>
    <mergeCell ref="U325:U326"/>
    <mergeCell ref="V325:V326"/>
    <mergeCell ref="W325:W326"/>
    <mergeCell ref="A327:A331"/>
    <mergeCell ref="B327:B331"/>
    <mergeCell ref="C327:C331"/>
    <mergeCell ref="D327:D331"/>
    <mergeCell ref="E327:E331"/>
    <mergeCell ref="W322:W323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Q322:Q323"/>
    <mergeCell ref="R322:R323"/>
    <mergeCell ref="S322:S323"/>
    <mergeCell ref="T322:T323"/>
    <mergeCell ref="U322:U323"/>
    <mergeCell ref="V322:V323"/>
    <mergeCell ref="K322:K323"/>
    <mergeCell ref="L322:L323"/>
    <mergeCell ref="M322:M323"/>
    <mergeCell ref="N322:N323"/>
    <mergeCell ref="O322:O323"/>
    <mergeCell ref="P322:P323"/>
    <mergeCell ref="V320:V321"/>
    <mergeCell ref="W320:W321"/>
    <mergeCell ref="A322:A326"/>
    <mergeCell ref="B322:B326"/>
    <mergeCell ref="C322:C326"/>
    <mergeCell ref="D322:D326"/>
    <mergeCell ref="E322:E326"/>
    <mergeCell ref="F322:F326"/>
    <mergeCell ref="G322:G326"/>
    <mergeCell ref="J322:J323"/>
    <mergeCell ref="P320:P321"/>
    <mergeCell ref="Q320:Q321"/>
    <mergeCell ref="R320:R321"/>
    <mergeCell ref="S320:S321"/>
    <mergeCell ref="T320:T321"/>
    <mergeCell ref="U320:U321"/>
    <mergeCell ref="T317:T318"/>
    <mergeCell ref="U317:U318"/>
    <mergeCell ref="V317:V318"/>
    <mergeCell ref="W317:W318"/>
    <mergeCell ref="J320:J321"/>
    <mergeCell ref="K320:K321"/>
    <mergeCell ref="L320:L321"/>
    <mergeCell ref="M320:M321"/>
    <mergeCell ref="N320:N321"/>
    <mergeCell ref="O320:O321"/>
    <mergeCell ref="N317:N318"/>
    <mergeCell ref="O317:O318"/>
    <mergeCell ref="P317:P318"/>
    <mergeCell ref="Q317:Q318"/>
    <mergeCell ref="R317:R318"/>
    <mergeCell ref="S317:S318"/>
    <mergeCell ref="F317:F321"/>
    <mergeCell ref="G317:G321"/>
    <mergeCell ref="J317:J318"/>
    <mergeCell ref="K317:K318"/>
    <mergeCell ref="L317:L318"/>
    <mergeCell ref="M317:M318"/>
    <mergeCell ref="S315:S316"/>
    <mergeCell ref="T315:T316"/>
    <mergeCell ref="U315:U316"/>
    <mergeCell ref="V315:V316"/>
    <mergeCell ref="W315:W316"/>
    <mergeCell ref="A317:A321"/>
    <mergeCell ref="B317:B321"/>
    <mergeCell ref="C317:C321"/>
    <mergeCell ref="D317:D321"/>
    <mergeCell ref="E317:E321"/>
    <mergeCell ref="W312:W313"/>
    <mergeCell ref="J315:J316"/>
    <mergeCell ref="K315:K316"/>
    <mergeCell ref="L315:L316"/>
    <mergeCell ref="M315:M316"/>
    <mergeCell ref="N315:N316"/>
    <mergeCell ref="O315:O316"/>
    <mergeCell ref="P315:P316"/>
    <mergeCell ref="Q315:Q316"/>
    <mergeCell ref="R315:R316"/>
    <mergeCell ref="Q312:Q313"/>
    <mergeCell ref="R312:R313"/>
    <mergeCell ref="S312:S313"/>
    <mergeCell ref="T312:T313"/>
    <mergeCell ref="U312:U313"/>
    <mergeCell ref="V312:V313"/>
    <mergeCell ref="K312:K313"/>
    <mergeCell ref="L312:L313"/>
    <mergeCell ref="M312:M313"/>
    <mergeCell ref="N312:N313"/>
    <mergeCell ref="O312:O313"/>
    <mergeCell ref="P312:P313"/>
    <mergeCell ref="V310:V311"/>
    <mergeCell ref="W310:W311"/>
    <mergeCell ref="A312:A316"/>
    <mergeCell ref="B312:B316"/>
    <mergeCell ref="C312:C316"/>
    <mergeCell ref="D312:D316"/>
    <mergeCell ref="E312:E316"/>
    <mergeCell ref="F312:F316"/>
    <mergeCell ref="G312:G316"/>
    <mergeCell ref="J312:J313"/>
    <mergeCell ref="P310:P311"/>
    <mergeCell ref="Q310:Q311"/>
    <mergeCell ref="R310:R311"/>
    <mergeCell ref="S310:S311"/>
    <mergeCell ref="T310:T311"/>
    <mergeCell ref="U310:U311"/>
    <mergeCell ref="T307:T308"/>
    <mergeCell ref="U307:U308"/>
    <mergeCell ref="V307:V308"/>
    <mergeCell ref="W307:W308"/>
    <mergeCell ref="J310:J311"/>
    <mergeCell ref="K310:K311"/>
    <mergeCell ref="L310:L311"/>
    <mergeCell ref="M310:M311"/>
    <mergeCell ref="N310:N311"/>
    <mergeCell ref="O310:O311"/>
    <mergeCell ref="N307:N308"/>
    <mergeCell ref="O307:O308"/>
    <mergeCell ref="P307:P308"/>
    <mergeCell ref="Q307:Q308"/>
    <mergeCell ref="R307:R308"/>
    <mergeCell ref="S307:S308"/>
    <mergeCell ref="F307:F311"/>
    <mergeCell ref="G307:G311"/>
    <mergeCell ref="J307:J308"/>
    <mergeCell ref="K307:K308"/>
    <mergeCell ref="L307:L308"/>
    <mergeCell ref="M307:M308"/>
    <mergeCell ref="S305:S306"/>
    <mergeCell ref="T305:T306"/>
    <mergeCell ref="U305:U306"/>
    <mergeCell ref="V305:V306"/>
    <mergeCell ref="W305:W306"/>
    <mergeCell ref="A307:A311"/>
    <mergeCell ref="B307:B311"/>
    <mergeCell ref="C307:C311"/>
    <mergeCell ref="D307:D311"/>
    <mergeCell ref="E307:E311"/>
    <mergeCell ref="W302:W303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Q302:Q303"/>
    <mergeCell ref="R302:R303"/>
    <mergeCell ref="S302:S303"/>
    <mergeCell ref="T302:T303"/>
    <mergeCell ref="U302:U303"/>
    <mergeCell ref="V302:V303"/>
    <mergeCell ref="K302:K303"/>
    <mergeCell ref="L302:L303"/>
    <mergeCell ref="M302:M303"/>
    <mergeCell ref="N302:N303"/>
    <mergeCell ref="O302:O303"/>
    <mergeCell ref="P302:P303"/>
    <mergeCell ref="V300:V301"/>
    <mergeCell ref="W300:W301"/>
    <mergeCell ref="A302:A306"/>
    <mergeCell ref="B302:B306"/>
    <mergeCell ref="C302:C306"/>
    <mergeCell ref="D302:D306"/>
    <mergeCell ref="E302:E306"/>
    <mergeCell ref="F302:F306"/>
    <mergeCell ref="G302:G306"/>
    <mergeCell ref="J302:J303"/>
    <mergeCell ref="P300:P301"/>
    <mergeCell ref="Q300:Q301"/>
    <mergeCell ref="R300:R301"/>
    <mergeCell ref="S300:S301"/>
    <mergeCell ref="T300:T301"/>
    <mergeCell ref="U300:U301"/>
    <mergeCell ref="T297:T298"/>
    <mergeCell ref="U297:U298"/>
    <mergeCell ref="V297:V298"/>
    <mergeCell ref="W297:W298"/>
    <mergeCell ref="J300:J301"/>
    <mergeCell ref="K300:K301"/>
    <mergeCell ref="L300:L301"/>
    <mergeCell ref="M300:M301"/>
    <mergeCell ref="N300:N301"/>
    <mergeCell ref="O300:O301"/>
    <mergeCell ref="N297:N298"/>
    <mergeCell ref="O297:O298"/>
    <mergeCell ref="P297:P298"/>
    <mergeCell ref="Q297:Q298"/>
    <mergeCell ref="R297:R298"/>
    <mergeCell ref="S297:S298"/>
    <mergeCell ref="F297:F301"/>
    <mergeCell ref="G297:G301"/>
    <mergeCell ref="J297:J298"/>
    <mergeCell ref="K297:K298"/>
    <mergeCell ref="L297:L298"/>
    <mergeCell ref="M297:M298"/>
    <mergeCell ref="S295:S296"/>
    <mergeCell ref="T295:T296"/>
    <mergeCell ref="U295:U296"/>
    <mergeCell ref="V295:V296"/>
    <mergeCell ref="W295:W296"/>
    <mergeCell ref="A297:A301"/>
    <mergeCell ref="B297:B301"/>
    <mergeCell ref="C297:C301"/>
    <mergeCell ref="D297:D301"/>
    <mergeCell ref="E297:E301"/>
    <mergeCell ref="W292:W293"/>
    <mergeCell ref="J295:J296"/>
    <mergeCell ref="K295:K296"/>
    <mergeCell ref="L295:L296"/>
    <mergeCell ref="M295:M296"/>
    <mergeCell ref="N295:N296"/>
    <mergeCell ref="O295:O296"/>
    <mergeCell ref="P295:P296"/>
    <mergeCell ref="Q295:Q296"/>
    <mergeCell ref="R295:R296"/>
    <mergeCell ref="Q292:Q293"/>
    <mergeCell ref="R292:R293"/>
    <mergeCell ref="S292:S293"/>
    <mergeCell ref="T292:T293"/>
    <mergeCell ref="U292:U293"/>
    <mergeCell ref="V292:V293"/>
    <mergeCell ref="K292:K293"/>
    <mergeCell ref="L292:L293"/>
    <mergeCell ref="M292:M293"/>
    <mergeCell ref="N292:N293"/>
    <mergeCell ref="O292:O293"/>
    <mergeCell ref="P292:P293"/>
    <mergeCell ref="V290:V291"/>
    <mergeCell ref="W290:W291"/>
    <mergeCell ref="A292:A296"/>
    <mergeCell ref="B292:B296"/>
    <mergeCell ref="C292:C296"/>
    <mergeCell ref="D292:D296"/>
    <mergeCell ref="E292:E296"/>
    <mergeCell ref="F292:F296"/>
    <mergeCell ref="G292:G296"/>
    <mergeCell ref="J292:J293"/>
    <mergeCell ref="P290:P291"/>
    <mergeCell ref="Q290:Q291"/>
    <mergeCell ref="R290:R291"/>
    <mergeCell ref="S290:S291"/>
    <mergeCell ref="T290:T291"/>
    <mergeCell ref="U290:U291"/>
    <mergeCell ref="T287:T288"/>
    <mergeCell ref="U287:U288"/>
    <mergeCell ref="V287:V288"/>
    <mergeCell ref="W287:W288"/>
    <mergeCell ref="J290:J291"/>
    <mergeCell ref="K290:K291"/>
    <mergeCell ref="L290:L291"/>
    <mergeCell ref="M290:M291"/>
    <mergeCell ref="N290:N291"/>
    <mergeCell ref="O290:O291"/>
    <mergeCell ref="N287:N288"/>
    <mergeCell ref="O287:O288"/>
    <mergeCell ref="P287:P288"/>
    <mergeCell ref="Q287:Q288"/>
    <mergeCell ref="R287:R288"/>
    <mergeCell ref="S287:S288"/>
    <mergeCell ref="F287:F291"/>
    <mergeCell ref="G287:G291"/>
    <mergeCell ref="J287:J288"/>
    <mergeCell ref="K287:K288"/>
    <mergeCell ref="L287:L288"/>
    <mergeCell ref="M287:M288"/>
    <mergeCell ref="S285:S286"/>
    <mergeCell ref="T285:T286"/>
    <mergeCell ref="U285:U286"/>
    <mergeCell ref="V285:V286"/>
    <mergeCell ref="W285:W286"/>
    <mergeCell ref="A287:A291"/>
    <mergeCell ref="B287:B291"/>
    <mergeCell ref="C287:C291"/>
    <mergeCell ref="D287:D291"/>
    <mergeCell ref="E287:E291"/>
    <mergeCell ref="W282:W283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Q282:Q283"/>
    <mergeCell ref="R282:R283"/>
    <mergeCell ref="S282:S283"/>
    <mergeCell ref="T282:T283"/>
    <mergeCell ref="U282:U283"/>
    <mergeCell ref="V282:V283"/>
    <mergeCell ref="K282:K283"/>
    <mergeCell ref="L282:L283"/>
    <mergeCell ref="M282:M283"/>
    <mergeCell ref="N282:N283"/>
    <mergeCell ref="O282:O283"/>
    <mergeCell ref="P282:P283"/>
    <mergeCell ref="V280:V281"/>
    <mergeCell ref="W280:W281"/>
    <mergeCell ref="A282:A286"/>
    <mergeCell ref="B282:B286"/>
    <mergeCell ref="C282:C286"/>
    <mergeCell ref="D282:D286"/>
    <mergeCell ref="E282:E286"/>
    <mergeCell ref="F282:F286"/>
    <mergeCell ref="G282:G286"/>
    <mergeCell ref="J282:J283"/>
    <mergeCell ref="P280:P281"/>
    <mergeCell ref="Q280:Q281"/>
    <mergeCell ref="R280:R281"/>
    <mergeCell ref="S280:S281"/>
    <mergeCell ref="T280:T281"/>
    <mergeCell ref="U280:U281"/>
    <mergeCell ref="T277:T278"/>
    <mergeCell ref="U277:U278"/>
    <mergeCell ref="V277:V278"/>
    <mergeCell ref="W277:W278"/>
    <mergeCell ref="J280:J281"/>
    <mergeCell ref="K280:K281"/>
    <mergeCell ref="L280:L281"/>
    <mergeCell ref="M280:M281"/>
    <mergeCell ref="N280:N281"/>
    <mergeCell ref="O280:O281"/>
    <mergeCell ref="N277:N278"/>
    <mergeCell ref="O277:O278"/>
    <mergeCell ref="P277:P278"/>
    <mergeCell ref="Q277:Q278"/>
    <mergeCell ref="R277:R278"/>
    <mergeCell ref="S277:S278"/>
    <mergeCell ref="F277:F281"/>
    <mergeCell ref="G277:G281"/>
    <mergeCell ref="J277:J278"/>
    <mergeCell ref="K277:K278"/>
    <mergeCell ref="L277:L278"/>
    <mergeCell ref="M277:M278"/>
    <mergeCell ref="S275:S276"/>
    <mergeCell ref="T275:T276"/>
    <mergeCell ref="U275:U276"/>
    <mergeCell ref="V275:V276"/>
    <mergeCell ref="W275:W276"/>
    <mergeCell ref="A277:A281"/>
    <mergeCell ref="B277:B281"/>
    <mergeCell ref="C277:C281"/>
    <mergeCell ref="D277:D281"/>
    <mergeCell ref="E277:E281"/>
    <mergeCell ref="W272:W273"/>
    <mergeCell ref="J275:J276"/>
    <mergeCell ref="K275:K276"/>
    <mergeCell ref="L275:L276"/>
    <mergeCell ref="M275:M276"/>
    <mergeCell ref="N275:N276"/>
    <mergeCell ref="O275:O276"/>
    <mergeCell ref="P275:P276"/>
    <mergeCell ref="Q275:Q276"/>
    <mergeCell ref="R275:R276"/>
    <mergeCell ref="Q272:Q273"/>
    <mergeCell ref="R272:R273"/>
    <mergeCell ref="S272:S273"/>
    <mergeCell ref="T272:T273"/>
    <mergeCell ref="U272:U273"/>
    <mergeCell ref="V272:V273"/>
    <mergeCell ref="K272:K273"/>
    <mergeCell ref="L272:L273"/>
    <mergeCell ref="M272:M273"/>
    <mergeCell ref="N272:N273"/>
    <mergeCell ref="O272:O273"/>
    <mergeCell ref="P272:P273"/>
    <mergeCell ref="V270:V271"/>
    <mergeCell ref="W270:W271"/>
    <mergeCell ref="A272:A276"/>
    <mergeCell ref="B272:B276"/>
    <mergeCell ref="C272:C276"/>
    <mergeCell ref="D272:D276"/>
    <mergeCell ref="E272:E276"/>
    <mergeCell ref="F272:F276"/>
    <mergeCell ref="G272:G276"/>
    <mergeCell ref="J272:J273"/>
    <mergeCell ref="P270:P271"/>
    <mergeCell ref="Q270:Q271"/>
    <mergeCell ref="R270:R271"/>
    <mergeCell ref="S270:S271"/>
    <mergeCell ref="T270:T271"/>
    <mergeCell ref="U270:U271"/>
    <mergeCell ref="T267:T268"/>
    <mergeCell ref="U267:U268"/>
    <mergeCell ref="V267:V268"/>
    <mergeCell ref="W267:W268"/>
    <mergeCell ref="J270:J271"/>
    <mergeCell ref="K270:K271"/>
    <mergeCell ref="L270:L271"/>
    <mergeCell ref="M270:M271"/>
    <mergeCell ref="N270:N271"/>
    <mergeCell ref="O270:O271"/>
    <mergeCell ref="N267:N268"/>
    <mergeCell ref="O267:O268"/>
    <mergeCell ref="P267:P268"/>
    <mergeCell ref="Q267:Q268"/>
    <mergeCell ref="R267:R268"/>
    <mergeCell ref="S267:S268"/>
    <mergeCell ref="F267:F271"/>
    <mergeCell ref="G267:G271"/>
    <mergeCell ref="J267:J268"/>
    <mergeCell ref="K267:K268"/>
    <mergeCell ref="L267:L268"/>
    <mergeCell ref="M267:M268"/>
    <mergeCell ref="S265:S266"/>
    <mergeCell ref="T265:T266"/>
    <mergeCell ref="U265:U266"/>
    <mergeCell ref="V265:V266"/>
    <mergeCell ref="W265:W266"/>
    <mergeCell ref="A267:A271"/>
    <mergeCell ref="B267:B271"/>
    <mergeCell ref="C267:C271"/>
    <mergeCell ref="D267:D271"/>
    <mergeCell ref="E267:E271"/>
    <mergeCell ref="W262:W263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R265:R266"/>
    <mergeCell ref="Q262:Q263"/>
    <mergeCell ref="R262:R263"/>
    <mergeCell ref="S262:S263"/>
    <mergeCell ref="T262:T263"/>
    <mergeCell ref="U262:U263"/>
    <mergeCell ref="V262:V263"/>
    <mergeCell ref="K262:K263"/>
    <mergeCell ref="L262:L263"/>
    <mergeCell ref="M262:M263"/>
    <mergeCell ref="N262:N263"/>
    <mergeCell ref="O262:O263"/>
    <mergeCell ref="P262:P263"/>
    <mergeCell ref="V260:V261"/>
    <mergeCell ref="W260:W261"/>
    <mergeCell ref="A262:A266"/>
    <mergeCell ref="B262:B266"/>
    <mergeCell ref="C262:C266"/>
    <mergeCell ref="D262:D266"/>
    <mergeCell ref="E262:E266"/>
    <mergeCell ref="F262:F266"/>
    <mergeCell ref="G262:G266"/>
    <mergeCell ref="J262:J263"/>
    <mergeCell ref="P260:P261"/>
    <mergeCell ref="Q260:Q261"/>
    <mergeCell ref="R260:R261"/>
    <mergeCell ref="S260:S261"/>
    <mergeCell ref="T260:T261"/>
    <mergeCell ref="U260:U261"/>
    <mergeCell ref="T257:T258"/>
    <mergeCell ref="U257:U258"/>
    <mergeCell ref="V257:V258"/>
    <mergeCell ref="W257:W258"/>
    <mergeCell ref="J260:J261"/>
    <mergeCell ref="K260:K261"/>
    <mergeCell ref="L260:L261"/>
    <mergeCell ref="M260:M261"/>
    <mergeCell ref="N260:N261"/>
    <mergeCell ref="O260:O261"/>
    <mergeCell ref="N257:N258"/>
    <mergeCell ref="O257:O258"/>
    <mergeCell ref="P257:P258"/>
    <mergeCell ref="Q257:Q258"/>
    <mergeCell ref="R257:R258"/>
    <mergeCell ref="S257:S258"/>
    <mergeCell ref="F257:F261"/>
    <mergeCell ref="G257:G261"/>
    <mergeCell ref="J257:J258"/>
    <mergeCell ref="K257:K258"/>
    <mergeCell ref="L257:L258"/>
    <mergeCell ref="M257:M258"/>
    <mergeCell ref="S255:S256"/>
    <mergeCell ref="T255:T256"/>
    <mergeCell ref="U255:U256"/>
    <mergeCell ref="V255:V256"/>
    <mergeCell ref="W255:W256"/>
    <mergeCell ref="A257:A261"/>
    <mergeCell ref="B257:B261"/>
    <mergeCell ref="C257:C261"/>
    <mergeCell ref="D257:D261"/>
    <mergeCell ref="E257:E261"/>
    <mergeCell ref="W252:W253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Q252:Q253"/>
    <mergeCell ref="R252:R253"/>
    <mergeCell ref="S252:S253"/>
    <mergeCell ref="T252:T253"/>
    <mergeCell ref="U252:U253"/>
    <mergeCell ref="V252:V253"/>
    <mergeCell ref="K252:K253"/>
    <mergeCell ref="L252:L253"/>
    <mergeCell ref="M252:M253"/>
    <mergeCell ref="N252:N253"/>
    <mergeCell ref="O252:O253"/>
    <mergeCell ref="P252:P253"/>
    <mergeCell ref="V250:V251"/>
    <mergeCell ref="W250:W251"/>
    <mergeCell ref="A252:A256"/>
    <mergeCell ref="B252:B256"/>
    <mergeCell ref="C252:C256"/>
    <mergeCell ref="D252:D256"/>
    <mergeCell ref="E252:E256"/>
    <mergeCell ref="F252:F256"/>
    <mergeCell ref="G252:G256"/>
    <mergeCell ref="J252:J253"/>
    <mergeCell ref="P250:P251"/>
    <mergeCell ref="Q250:Q251"/>
    <mergeCell ref="R250:R251"/>
    <mergeCell ref="S250:S251"/>
    <mergeCell ref="T250:T251"/>
    <mergeCell ref="U250:U251"/>
    <mergeCell ref="T247:T248"/>
    <mergeCell ref="U247:U248"/>
    <mergeCell ref="V247:V248"/>
    <mergeCell ref="W247:W248"/>
    <mergeCell ref="J250:J251"/>
    <mergeCell ref="K250:K251"/>
    <mergeCell ref="L250:L251"/>
    <mergeCell ref="M250:M251"/>
    <mergeCell ref="N250:N251"/>
    <mergeCell ref="O250:O251"/>
    <mergeCell ref="N247:N248"/>
    <mergeCell ref="O247:O248"/>
    <mergeCell ref="P247:P248"/>
    <mergeCell ref="Q247:Q248"/>
    <mergeCell ref="R247:R248"/>
    <mergeCell ref="S247:S248"/>
    <mergeCell ref="F247:F251"/>
    <mergeCell ref="G247:G251"/>
    <mergeCell ref="J247:J248"/>
    <mergeCell ref="K247:K248"/>
    <mergeCell ref="L247:L248"/>
    <mergeCell ref="M247:M248"/>
    <mergeCell ref="S245:S246"/>
    <mergeCell ref="T245:T246"/>
    <mergeCell ref="U245:U246"/>
    <mergeCell ref="V245:V246"/>
    <mergeCell ref="W245:W246"/>
    <mergeCell ref="A247:A251"/>
    <mergeCell ref="B247:B251"/>
    <mergeCell ref="C247:C251"/>
    <mergeCell ref="D247:D251"/>
    <mergeCell ref="E247:E251"/>
    <mergeCell ref="W242:W243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Q242:Q243"/>
    <mergeCell ref="R242:R243"/>
    <mergeCell ref="S242:S243"/>
    <mergeCell ref="T242:T243"/>
    <mergeCell ref="U242:U243"/>
    <mergeCell ref="V242:V243"/>
    <mergeCell ref="K242:K243"/>
    <mergeCell ref="L242:L243"/>
    <mergeCell ref="M242:M243"/>
    <mergeCell ref="N242:N243"/>
    <mergeCell ref="O242:O243"/>
    <mergeCell ref="P242:P243"/>
    <mergeCell ref="V240:V241"/>
    <mergeCell ref="W240:W241"/>
    <mergeCell ref="A242:A246"/>
    <mergeCell ref="B242:B246"/>
    <mergeCell ref="C242:C246"/>
    <mergeCell ref="D242:D246"/>
    <mergeCell ref="E242:E246"/>
    <mergeCell ref="F242:F246"/>
    <mergeCell ref="G242:G246"/>
    <mergeCell ref="J242:J243"/>
    <mergeCell ref="P240:P241"/>
    <mergeCell ref="Q240:Q241"/>
    <mergeCell ref="R240:R241"/>
    <mergeCell ref="S240:S241"/>
    <mergeCell ref="T240:T241"/>
    <mergeCell ref="U240:U241"/>
    <mergeCell ref="T237:T238"/>
    <mergeCell ref="U237:U238"/>
    <mergeCell ref="V237:V238"/>
    <mergeCell ref="W237:W238"/>
    <mergeCell ref="J240:J241"/>
    <mergeCell ref="K240:K241"/>
    <mergeCell ref="L240:L241"/>
    <mergeCell ref="M240:M241"/>
    <mergeCell ref="N240:N241"/>
    <mergeCell ref="O240:O241"/>
    <mergeCell ref="N237:N238"/>
    <mergeCell ref="O237:O238"/>
    <mergeCell ref="P237:P238"/>
    <mergeCell ref="Q237:Q238"/>
    <mergeCell ref="R237:R238"/>
    <mergeCell ref="S237:S238"/>
    <mergeCell ref="F237:F241"/>
    <mergeCell ref="G237:G241"/>
    <mergeCell ref="J237:J238"/>
    <mergeCell ref="K237:K238"/>
    <mergeCell ref="L237:L238"/>
    <mergeCell ref="M237:M238"/>
    <mergeCell ref="S235:S236"/>
    <mergeCell ref="T235:T236"/>
    <mergeCell ref="U235:U236"/>
    <mergeCell ref="V235:V236"/>
    <mergeCell ref="W235:W236"/>
    <mergeCell ref="A237:A241"/>
    <mergeCell ref="B237:B241"/>
    <mergeCell ref="C237:C241"/>
    <mergeCell ref="D237:D241"/>
    <mergeCell ref="E237:E241"/>
    <mergeCell ref="W232:W233"/>
    <mergeCell ref="J235:J236"/>
    <mergeCell ref="K235:K236"/>
    <mergeCell ref="L235:L236"/>
    <mergeCell ref="M235:M236"/>
    <mergeCell ref="N235:N236"/>
    <mergeCell ref="O235:O236"/>
    <mergeCell ref="P235:P236"/>
    <mergeCell ref="Q235:Q236"/>
    <mergeCell ref="R235:R236"/>
    <mergeCell ref="Q232:Q233"/>
    <mergeCell ref="R232:R233"/>
    <mergeCell ref="S232:S233"/>
    <mergeCell ref="T232:T233"/>
    <mergeCell ref="U232:U233"/>
    <mergeCell ref="V232:V233"/>
    <mergeCell ref="K232:K233"/>
    <mergeCell ref="L232:L233"/>
    <mergeCell ref="M232:M233"/>
    <mergeCell ref="N232:N233"/>
    <mergeCell ref="O232:O233"/>
    <mergeCell ref="P232:P233"/>
    <mergeCell ref="V230:V231"/>
    <mergeCell ref="W230:W231"/>
    <mergeCell ref="A232:A236"/>
    <mergeCell ref="B232:B236"/>
    <mergeCell ref="C232:C236"/>
    <mergeCell ref="D232:D236"/>
    <mergeCell ref="E232:E236"/>
    <mergeCell ref="F232:F236"/>
    <mergeCell ref="G232:G236"/>
    <mergeCell ref="J232:J233"/>
    <mergeCell ref="P230:P231"/>
    <mergeCell ref="Q230:Q231"/>
    <mergeCell ref="R230:R231"/>
    <mergeCell ref="S230:S231"/>
    <mergeCell ref="T230:T231"/>
    <mergeCell ref="U230:U231"/>
    <mergeCell ref="T227:T228"/>
    <mergeCell ref="U227:U228"/>
    <mergeCell ref="V227:V228"/>
    <mergeCell ref="W227:W228"/>
    <mergeCell ref="J230:J231"/>
    <mergeCell ref="K230:K231"/>
    <mergeCell ref="L230:L231"/>
    <mergeCell ref="M230:M231"/>
    <mergeCell ref="N230:N231"/>
    <mergeCell ref="O230:O231"/>
    <mergeCell ref="N227:N228"/>
    <mergeCell ref="O227:O228"/>
    <mergeCell ref="P227:P228"/>
    <mergeCell ref="Q227:Q228"/>
    <mergeCell ref="R227:R228"/>
    <mergeCell ref="S227:S228"/>
    <mergeCell ref="F227:F231"/>
    <mergeCell ref="G227:G231"/>
    <mergeCell ref="J227:J228"/>
    <mergeCell ref="K227:K228"/>
    <mergeCell ref="L227:L228"/>
    <mergeCell ref="M227:M228"/>
    <mergeCell ref="S225:S226"/>
    <mergeCell ref="T225:T226"/>
    <mergeCell ref="U225:U226"/>
    <mergeCell ref="V225:V226"/>
    <mergeCell ref="W225:W226"/>
    <mergeCell ref="A227:A231"/>
    <mergeCell ref="B227:B231"/>
    <mergeCell ref="C227:C231"/>
    <mergeCell ref="D227:D231"/>
    <mergeCell ref="E227:E231"/>
    <mergeCell ref="W222:W223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Q222:Q223"/>
    <mergeCell ref="R222:R223"/>
    <mergeCell ref="S222:S223"/>
    <mergeCell ref="T222:T223"/>
    <mergeCell ref="U222:U223"/>
    <mergeCell ref="V222:V223"/>
    <mergeCell ref="K222:K223"/>
    <mergeCell ref="L222:L223"/>
    <mergeCell ref="M222:M223"/>
    <mergeCell ref="N222:N223"/>
    <mergeCell ref="O222:O223"/>
    <mergeCell ref="P222:P223"/>
    <mergeCell ref="V220:V221"/>
    <mergeCell ref="W220:W221"/>
    <mergeCell ref="A222:A226"/>
    <mergeCell ref="B222:B226"/>
    <mergeCell ref="C222:C226"/>
    <mergeCell ref="D222:D226"/>
    <mergeCell ref="E222:E226"/>
    <mergeCell ref="F222:F226"/>
    <mergeCell ref="G222:G226"/>
    <mergeCell ref="J222:J223"/>
    <mergeCell ref="P220:P221"/>
    <mergeCell ref="Q220:Q221"/>
    <mergeCell ref="R220:R221"/>
    <mergeCell ref="S220:S221"/>
    <mergeCell ref="T220:T221"/>
    <mergeCell ref="U220:U221"/>
    <mergeCell ref="T217:T218"/>
    <mergeCell ref="U217:U218"/>
    <mergeCell ref="V217:V218"/>
    <mergeCell ref="W217:W218"/>
    <mergeCell ref="J220:J221"/>
    <mergeCell ref="K220:K221"/>
    <mergeCell ref="L220:L221"/>
    <mergeCell ref="M220:M221"/>
    <mergeCell ref="N220:N221"/>
    <mergeCell ref="O220:O221"/>
    <mergeCell ref="N217:N218"/>
    <mergeCell ref="O217:O218"/>
    <mergeCell ref="P217:P218"/>
    <mergeCell ref="Q217:Q218"/>
    <mergeCell ref="R217:R218"/>
    <mergeCell ref="S217:S218"/>
    <mergeCell ref="F217:F221"/>
    <mergeCell ref="G217:G221"/>
    <mergeCell ref="J217:J218"/>
    <mergeCell ref="K217:K218"/>
    <mergeCell ref="L217:L218"/>
    <mergeCell ref="M217:M218"/>
    <mergeCell ref="S215:S216"/>
    <mergeCell ref="T215:T216"/>
    <mergeCell ref="U215:U216"/>
    <mergeCell ref="V215:V216"/>
    <mergeCell ref="W215:W216"/>
    <mergeCell ref="A217:A221"/>
    <mergeCell ref="B217:B221"/>
    <mergeCell ref="C217:C221"/>
    <mergeCell ref="D217:D221"/>
    <mergeCell ref="E217:E221"/>
    <mergeCell ref="W212:W213"/>
    <mergeCell ref="J215:J216"/>
    <mergeCell ref="K215:K216"/>
    <mergeCell ref="L215:L216"/>
    <mergeCell ref="M215:M216"/>
    <mergeCell ref="N215:N216"/>
    <mergeCell ref="O215:O216"/>
    <mergeCell ref="P215:P216"/>
    <mergeCell ref="Q215:Q216"/>
    <mergeCell ref="R215:R216"/>
    <mergeCell ref="Q212:Q213"/>
    <mergeCell ref="R212:R213"/>
    <mergeCell ref="S212:S213"/>
    <mergeCell ref="T212:T213"/>
    <mergeCell ref="U212:U213"/>
    <mergeCell ref="V212:V213"/>
    <mergeCell ref="K212:K213"/>
    <mergeCell ref="L212:L213"/>
    <mergeCell ref="M212:M213"/>
    <mergeCell ref="N212:N213"/>
    <mergeCell ref="O212:O213"/>
    <mergeCell ref="P212:P213"/>
    <mergeCell ref="V210:V211"/>
    <mergeCell ref="W210:W211"/>
    <mergeCell ref="A212:A216"/>
    <mergeCell ref="B212:B216"/>
    <mergeCell ref="C212:C216"/>
    <mergeCell ref="D212:D216"/>
    <mergeCell ref="E212:E216"/>
    <mergeCell ref="F212:F216"/>
    <mergeCell ref="G212:G216"/>
    <mergeCell ref="J212:J213"/>
    <mergeCell ref="P210:P211"/>
    <mergeCell ref="Q210:Q211"/>
    <mergeCell ref="R210:R211"/>
    <mergeCell ref="S210:S211"/>
    <mergeCell ref="T210:T211"/>
    <mergeCell ref="U210:U211"/>
    <mergeCell ref="T207:T208"/>
    <mergeCell ref="U207:U208"/>
    <mergeCell ref="V207:V208"/>
    <mergeCell ref="W207:W208"/>
    <mergeCell ref="J210:J211"/>
    <mergeCell ref="K210:K211"/>
    <mergeCell ref="L210:L211"/>
    <mergeCell ref="M210:M211"/>
    <mergeCell ref="N210:N211"/>
    <mergeCell ref="O210:O211"/>
    <mergeCell ref="N207:N208"/>
    <mergeCell ref="O207:O208"/>
    <mergeCell ref="P207:P208"/>
    <mergeCell ref="Q207:Q208"/>
    <mergeCell ref="R207:R208"/>
    <mergeCell ref="S207:S208"/>
    <mergeCell ref="F207:F211"/>
    <mergeCell ref="G207:G211"/>
    <mergeCell ref="J207:J208"/>
    <mergeCell ref="K207:K208"/>
    <mergeCell ref="L207:L208"/>
    <mergeCell ref="M207:M208"/>
    <mergeCell ref="S205:S206"/>
    <mergeCell ref="T205:T206"/>
    <mergeCell ref="U205:U206"/>
    <mergeCell ref="V205:V206"/>
    <mergeCell ref="W205:W206"/>
    <mergeCell ref="A207:A211"/>
    <mergeCell ref="B207:B211"/>
    <mergeCell ref="C207:C211"/>
    <mergeCell ref="D207:D211"/>
    <mergeCell ref="E207:E211"/>
    <mergeCell ref="W202:W203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Q202:Q203"/>
    <mergeCell ref="R202:R203"/>
    <mergeCell ref="S202:S203"/>
    <mergeCell ref="T202:T203"/>
    <mergeCell ref="U202:U203"/>
    <mergeCell ref="V202:V203"/>
    <mergeCell ref="K202:K203"/>
    <mergeCell ref="L202:L203"/>
    <mergeCell ref="M202:M203"/>
    <mergeCell ref="N202:N203"/>
    <mergeCell ref="O202:O203"/>
    <mergeCell ref="P202:P203"/>
    <mergeCell ref="V200:V201"/>
    <mergeCell ref="W200:W201"/>
    <mergeCell ref="A202:A206"/>
    <mergeCell ref="B202:B206"/>
    <mergeCell ref="C202:C206"/>
    <mergeCell ref="D202:D206"/>
    <mergeCell ref="E202:E206"/>
    <mergeCell ref="F202:F206"/>
    <mergeCell ref="G202:G206"/>
    <mergeCell ref="J202:J203"/>
    <mergeCell ref="P200:P201"/>
    <mergeCell ref="Q200:Q201"/>
    <mergeCell ref="R200:R201"/>
    <mergeCell ref="S200:S201"/>
    <mergeCell ref="T200:T201"/>
    <mergeCell ref="U200:U201"/>
    <mergeCell ref="T197:T198"/>
    <mergeCell ref="U197:U198"/>
    <mergeCell ref="V197:V198"/>
    <mergeCell ref="W197:W198"/>
    <mergeCell ref="J200:J201"/>
    <mergeCell ref="K200:K201"/>
    <mergeCell ref="L200:L201"/>
    <mergeCell ref="M200:M201"/>
    <mergeCell ref="N200:N201"/>
    <mergeCell ref="O200:O201"/>
    <mergeCell ref="N197:N198"/>
    <mergeCell ref="O197:O198"/>
    <mergeCell ref="P197:P198"/>
    <mergeCell ref="Q197:Q198"/>
    <mergeCell ref="R197:R198"/>
    <mergeCell ref="S197:S198"/>
    <mergeCell ref="F197:F201"/>
    <mergeCell ref="G197:G201"/>
    <mergeCell ref="J197:J198"/>
    <mergeCell ref="K197:K198"/>
    <mergeCell ref="L197:L198"/>
    <mergeCell ref="M197:M198"/>
    <mergeCell ref="S195:S196"/>
    <mergeCell ref="T195:T196"/>
    <mergeCell ref="U195:U196"/>
    <mergeCell ref="V195:V196"/>
    <mergeCell ref="W195:W196"/>
    <mergeCell ref="A197:A201"/>
    <mergeCell ref="B197:B201"/>
    <mergeCell ref="C197:C201"/>
    <mergeCell ref="D197:D201"/>
    <mergeCell ref="E197:E201"/>
    <mergeCell ref="W192:W193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Q192:Q193"/>
    <mergeCell ref="R192:R193"/>
    <mergeCell ref="S192:S193"/>
    <mergeCell ref="T192:T193"/>
    <mergeCell ref="U192:U193"/>
    <mergeCell ref="V192:V193"/>
    <mergeCell ref="K192:K193"/>
    <mergeCell ref="L192:L193"/>
    <mergeCell ref="M192:M193"/>
    <mergeCell ref="N192:N193"/>
    <mergeCell ref="O192:O193"/>
    <mergeCell ref="P192:P193"/>
    <mergeCell ref="V190:V191"/>
    <mergeCell ref="W190:W191"/>
    <mergeCell ref="A192:A196"/>
    <mergeCell ref="B192:B196"/>
    <mergeCell ref="C192:C196"/>
    <mergeCell ref="D192:D196"/>
    <mergeCell ref="E192:E196"/>
    <mergeCell ref="F192:F196"/>
    <mergeCell ref="G192:G196"/>
    <mergeCell ref="J192:J193"/>
    <mergeCell ref="P190:P191"/>
    <mergeCell ref="Q190:Q191"/>
    <mergeCell ref="R190:R191"/>
    <mergeCell ref="S190:S191"/>
    <mergeCell ref="T190:T191"/>
    <mergeCell ref="U190:U191"/>
    <mergeCell ref="T187:T188"/>
    <mergeCell ref="U187:U188"/>
    <mergeCell ref="V187:V188"/>
    <mergeCell ref="W187:W188"/>
    <mergeCell ref="J190:J191"/>
    <mergeCell ref="K190:K191"/>
    <mergeCell ref="L190:L191"/>
    <mergeCell ref="M190:M191"/>
    <mergeCell ref="N190:N191"/>
    <mergeCell ref="O190:O191"/>
    <mergeCell ref="N187:N188"/>
    <mergeCell ref="O187:O188"/>
    <mergeCell ref="P187:P188"/>
    <mergeCell ref="Q187:Q188"/>
    <mergeCell ref="R187:R188"/>
    <mergeCell ref="S187:S188"/>
    <mergeCell ref="F187:F191"/>
    <mergeCell ref="G187:G191"/>
    <mergeCell ref="J187:J188"/>
    <mergeCell ref="K187:K188"/>
    <mergeCell ref="L187:L188"/>
    <mergeCell ref="M187:M188"/>
    <mergeCell ref="S185:S186"/>
    <mergeCell ref="T185:T186"/>
    <mergeCell ref="U185:U186"/>
    <mergeCell ref="V185:V186"/>
    <mergeCell ref="W185:W186"/>
    <mergeCell ref="A187:A191"/>
    <mergeCell ref="B187:B191"/>
    <mergeCell ref="C187:C191"/>
    <mergeCell ref="D187:D191"/>
    <mergeCell ref="E187:E191"/>
    <mergeCell ref="W182:W183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Q182:Q183"/>
    <mergeCell ref="R182:R183"/>
    <mergeCell ref="S182:S183"/>
    <mergeCell ref="T182:T183"/>
    <mergeCell ref="U182:U183"/>
    <mergeCell ref="V182:V183"/>
    <mergeCell ref="K182:K183"/>
    <mergeCell ref="L182:L183"/>
    <mergeCell ref="M182:M183"/>
    <mergeCell ref="N182:N183"/>
    <mergeCell ref="O182:O183"/>
    <mergeCell ref="P182:P183"/>
    <mergeCell ref="V180:V181"/>
    <mergeCell ref="W180:W181"/>
    <mergeCell ref="A182:A186"/>
    <mergeCell ref="B182:B186"/>
    <mergeCell ref="C182:C186"/>
    <mergeCell ref="D182:D186"/>
    <mergeCell ref="E182:E186"/>
    <mergeCell ref="F182:F186"/>
    <mergeCell ref="G182:G186"/>
    <mergeCell ref="J182:J183"/>
    <mergeCell ref="P180:P181"/>
    <mergeCell ref="Q180:Q181"/>
    <mergeCell ref="R180:R181"/>
    <mergeCell ref="S180:S181"/>
    <mergeCell ref="T180:T181"/>
    <mergeCell ref="U180:U181"/>
    <mergeCell ref="T177:T178"/>
    <mergeCell ref="U177:U178"/>
    <mergeCell ref="V177:V178"/>
    <mergeCell ref="W177:W178"/>
    <mergeCell ref="J180:J181"/>
    <mergeCell ref="K180:K181"/>
    <mergeCell ref="L180:L181"/>
    <mergeCell ref="M180:M181"/>
    <mergeCell ref="N180:N181"/>
    <mergeCell ref="O180:O181"/>
    <mergeCell ref="N177:N178"/>
    <mergeCell ref="O177:O178"/>
    <mergeCell ref="P177:P178"/>
    <mergeCell ref="Q177:Q178"/>
    <mergeCell ref="R177:R178"/>
    <mergeCell ref="S177:S178"/>
    <mergeCell ref="F177:F181"/>
    <mergeCell ref="G177:G181"/>
    <mergeCell ref="J177:J178"/>
    <mergeCell ref="K177:K178"/>
    <mergeCell ref="L177:L178"/>
    <mergeCell ref="M177:M178"/>
    <mergeCell ref="S175:S176"/>
    <mergeCell ref="T175:T176"/>
    <mergeCell ref="U175:U176"/>
    <mergeCell ref="V175:V176"/>
    <mergeCell ref="W175:W176"/>
    <mergeCell ref="A177:A181"/>
    <mergeCell ref="B177:B181"/>
    <mergeCell ref="C177:C181"/>
    <mergeCell ref="D177:D181"/>
    <mergeCell ref="E177:E181"/>
    <mergeCell ref="W172:W173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Q172:Q173"/>
    <mergeCell ref="R172:R173"/>
    <mergeCell ref="S172:S173"/>
    <mergeCell ref="T172:T173"/>
    <mergeCell ref="U172:U173"/>
    <mergeCell ref="V172:V173"/>
    <mergeCell ref="K172:K173"/>
    <mergeCell ref="L172:L173"/>
    <mergeCell ref="M172:M173"/>
    <mergeCell ref="N172:N173"/>
    <mergeCell ref="O172:O173"/>
    <mergeCell ref="P172:P173"/>
    <mergeCell ref="V170:V171"/>
    <mergeCell ref="W170:W171"/>
    <mergeCell ref="A172:A176"/>
    <mergeCell ref="B172:B176"/>
    <mergeCell ref="C172:C176"/>
    <mergeCell ref="D172:D176"/>
    <mergeCell ref="E172:E176"/>
    <mergeCell ref="F172:F176"/>
    <mergeCell ref="G172:G176"/>
    <mergeCell ref="J172:J173"/>
    <mergeCell ref="P170:P171"/>
    <mergeCell ref="Q170:Q171"/>
    <mergeCell ref="R170:R171"/>
    <mergeCell ref="S170:S171"/>
    <mergeCell ref="T170:T171"/>
    <mergeCell ref="U170:U171"/>
    <mergeCell ref="T167:T168"/>
    <mergeCell ref="U167:U168"/>
    <mergeCell ref="V167:V168"/>
    <mergeCell ref="W167:W168"/>
    <mergeCell ref="J170:J171"/>
    <mergeCell ref="K170:K171"/>
    <mergeCell ref="L170:L171"/>
    <mergeCell ref="M170:M171"/>
    <mergeCell ref="N170:N171"/>
    <mergeCell ref="O170:O171"/>
    <mergeCell ref="N167:N168"/>
    <mergeCell ref="O167:O168"/>
    <mergeCell ref="P167:P168"/>
    <mergeCell ref="Q167:Q168"/>
    <mergeCell ref="R167:R168"/>
    <mergeCell ref="S167:S168"/>
    <mergeCell ref="F167:F171"/>
    <mergeCell ref="G167:G171"/>
    <mergeCell ref="J167:J168"/>
    <mergeCell ref="K167:K168"/>
    <mergeCell ref="L167:L168"/>
    <mergeCell ref="M167:M168"/>
    <mergeCell ref="S165:S166"/>
    <mergeCell ref="T165:T166"/>
    <mergeCell ref="U165:U166"/>
    <mergeCell ref="V165:V166"/>
    <mergeCell ref="W165:W166"/>
    <mergeCell ref="A167:A171"/>
    <mergeCell ref="B167:B171"/>
    <mergeCell ref="C167:C171"/>
    <mergeCell ref="D167:D171"/>
    <mergeCell ref="E167:E171"/>
    <mergeCell ref="W162:W163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Q162:Q163"/>
    <mergeCell ref="R162:R163"/>
    <mergeCell ref="S162:S163"/>
    <mergeCell ref="T162:T163"/>
    <mergeCell ref="U162:U163"/>
    <mergeCell ref="V162:V163"/>
    <mergeCell ref="K162:K163"/>
    <mergeCell ref="L162:L163"/>
    <mergeCell ref="M162:M163"/>
    <mergeCell ref="N162:N163"/>
    <mergeCell ref="O162:O163"/>
    <mergeCell ref="P162:P163"/>
    <mergeCell ref="V160:V161"/>
    <mergeCell ref="W160:W161"/>
    <mergeCell ref="A162:A166"/>
    <mergeCell ref="B162:B166"/>
    <mergeCell ref="C162:C166"/>
    <mergeCell ref="D162:D166"/>
    <mergeCell ref="E162:E166"/>
    <mergeCell ref="F162:F166"/>
    <mergeCell ref="G162:G166"/>
    <mergeCell ref="J162:J163"/>
    <mergeCell ref="P160:P161"/>
    <mergeCell ref="Q160:Q161"/>
    <mergeCell ref="R160:R161"/>
    <mergeCell ref="S160:S161"/>
    <mergeCell ref="T160:T161"/>
    <mergeCell ref="U160:U161"/>
    <mergeCell ref="T157:T158"/>
    <mergeCell ref="U157:U158"/>
    <mergeCell ref="V157:V158"/>
    <mergeCell ref="W157:W158"/>
    <mergeCell ref="J160:J161"/>
    <mergeCell ref="K160:K161"/>
    <mergeCell ref="L160:L161"/>
    <mergeCell ref="M160:M161"/>
    <mergeCell ref="N160:N161"/>
    <mergeCell ref="O160:O161"/>
    <mergeCell ref="N157:N158"/>
    <mergeCell ref="O157:O158"/>
    <mergeCell ref="P157:P158"/>
    <mergeCell ref="Q157:Q158"/>
    <mergeCell ref="R157:R158"/>
    <mergeCell ref="S157:S158"/>
    <mergeCell ref="F157:F161"/>
    <mergeCell ref="G157:G161"/>
    <mergeCell ref="J157:J158"/>
    <mergeCell ref="K157:K158"/>
    <mergeCell ref="L157:L158"/>
    <mergeCell ref="M157:M158"/>
    <mergeCell ref="S155:S156"/>
    <mergeCell ref="T155:T156"/>
    <mergeCell ref="U155:U156"/>
    <mergeCell ref="V155:V156"/>
    <mergeCell ref="W155:W156"/>
    <mergeCell ref="A157:A161"/>
    <mergeCell ref="B157:B161"/>
    <mergeCell ref="C157:C161"/>
    <mergeCell ref="D157:D161"/>
    <mergeCell ref="E157:E161"/>
    <mergeCell ref="W152:W153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Q152:Q153"/>
    <mergeCell ref="R152:R153"/>
    <mergeCell ref="S152:S153"/>
    <mergeCell ref="T152:T153"/>
    <mergeCell ref="U152:U153"/>
    <mergeCell ref="V152:V153"/>
    <mergeCell ref="K152:K153"/>
    <mergeCell ref="L152:L153"/>
    <mergeCell ref="M152:M153"/>
    <mergeCell ref="N152:N153"/>
    <mergeCell ref="O152:O153"/>
    <mergeCell ref="P152:P153"/>
    <mergeCell ref="V150:V151"/>
    <mergeCell ref="W150:W151"/>
    <mergeCell ref="A152:A156"/>
    <mergeCell ref="B152:B156"/>
    <mergeCell ref="C152:C156"/>
    <mergeCell ref="D152:D156"/>
    <mergeCell ref="E152:E156"/>
    <mergeCell ref="F152:F156"/>
    <mergeCell ref="G152:G156"/>
    <mergeCell ref="J152:J153"/>
    <mergeCell ref="P150:P151"/>
    <mergeCell ref="Q150:Q151"/>
    <mergeCell ref="R150:R151"/>
    <mergeCell ref="S150:S151"/>
    <mergeCell ref="T150:T151"/>
    <mergeCell ref="U150:U151"/>
    <mergeCell ref="T147:T148"/>
    <mergeCell ref="U147:U148"/>
    <mergeCell ref="V147:V148"/>
    <mergeCell ref="W147:W148"/>
    <mergeCell ref="J150:J151"/>
    <mergeCell ref="K150:K151"/>
    <mergeCell ref="L150:L151"/>
    <mergeCell ref="M150:M151"/>
    <mergeCell ref="N150:N151"/>
    <mergeCell ref="O150:O151"/>
    <mergeCell ref="N147:N148"/>
    <mergeCell ref="O147:O148"/>
    <mergeCell ref="P147:P148"/>
    <mergeCell ref="Q147:Q148"/>
    <mergeCell ref="R147:R148"/>
    <mergeCell ref="S147:S148"/>
    <mergeCell ref="F147:F151"/>
    <mergeCell ref="G147:G151"/>
    <mergeCell ref="J147:J148"/>
    <mergeCell ref="K147:K148"/>
    <mergeCell ref="L147:L148"/>
    <mergeCell ref="M147:M148"/>
    <mergeCell ref="S145:S146"/>
    <mergeCell ref="T145:T146"/>
    <mergeCell ref="U145:U146"/>
    <mergeCell ref="V145:V146"/>
    <mergeCell ref="W145:W146"/>
    <mergeCell ref="A147:A151"/>
    <mergeCell ref="B147:B151"/>
    <mergeCell ref="C147:C151"/>
    <mergeCell ref="D147:D151"/>
    <mergeCell ref="E147:E151"/>
    <mergeCell ref="W142:W143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Q142:Q143"/>
    <mergeCell ref="R142:R143"/>
    <mergeCell ref="S142:S143"/>
    <mergeCell ref="T142:T143"/>
    <mergeCell ref="U142:U143"/>
    <mergeCell ref="V142:V143"/>
    <mergeCell ref="K142:K143"/>
    <mergeCell ref="L142:L143"/>
    <mergeCell ref="M142:M143"/>
    <mergeCell ref="N142:N143"/>
    <mergeCell ref="O142:O143"/>
    <mergeCell ref="P142:P143"/>
    <mergeCell ref="V140:V141"/>
    <mergeCell ref="W140:W141"/>
    <mergeCell ref="A142:A146"/>
    <mergeCell ref="B142:B146"/>
    <mergeCell ref="C142:C146"/>
    <mergeCell ref="D142:D146"/>
    <mergeCell ref="E142:E146"/>
    <mergeCell ref="F142:F146"/>
    <mergeCell ref="G142:G146"/>
    <mergeCell ref="J142:J143"/>
    <mergeCell ref="P140:P141"/>
    <mergeCell ref="Q140:Q141"/>
    <mergeCell ref="R140:R141"/>
    <mergeCell ref="S140:S141"/>
    <mergeCell ref="T140:T141"/>
    <mergeCell ref="U140:U141"/>
    <mergeCell ref="T137:T138"/>
    <mergeCell ref="U137:U138"/>
    <mergeCell ref="V137:V138"/>
    <mergeCell ref="W137:W138"/>
    <mergeCell ref="J140:J141"/>
    <mergeCell ref="K140:K141"/>
    <mergeCell ref="L140:L141"/>
    <mergeCell ref="M140:M141"/>
    <mergeCell ref="N140:N141"/>
    <mergeCell ref="O140:O141"/>
    <mergeCell ref="N137:N138"/>
    <mergeCell ref="O137:O138"/>
    <mergeCell ref="P137:P138"/>
    <mergeCell ref="Q137:Q138"/>
    <mergeCell ref="R137:R138"/>
    <mergeCell ref="S137:S138"/>
    <mergeCell ref="F137:F141"/>
    <mergeCell ref="G137:G141"/>
    <mergeCell ref="J137:J138"/>
    <mergeCell ref="K137:K138"/>
    <mergeCell ref="L137:L138"/>
    <mergeCell ref="M137:M138"/>
    <mergeCell ref="S135:S136"/>
    <mergeCell ref="T135:T136"/>
    <mergeCell ref="U135:U136"/>
    <mergeCell ref="V135:V136"/>
    <mergeCell ref="W135:W136"/>
    <mergeCell ref="A137:A141"/>
    <mergeCell ref="B137:B141"/>
    <mergeCell ref="C137:C141"/>
    <mergeCell ref="D137:D141"/>
    <mergeCell ref="E137:E141"/>
    <mergeCell ref="W132:W133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0:V131"/>
    <mergeCell ref="W130:W131"/>
    <mergeCell ref="A132:A136"/>
    <mergeCell ref="B132:B136"/>
    <mergeCell ref="C132:C136"/>
    <mergeCell ref="D132:D136"/>
    <mergeCell ref="E132:E136"/>
    <mergeCell ref="F132:F136"/>
    <mergeCell ref="G132:G136"/>
    <mergeCell ref="J132:J133"/>
    <mergeCell ref="P130:P131"/>
    <mergeCell ref="Q130:Q131"/>
    <mergeCell ref="R130:R131"/>
    <mergeCell ref="S130:S131"/>
    <mergeCell ref="T130:T131"/>
    <mergeCell ref="U130:U131"/>
    <mergeCell ref="T127:T128"/>
    <mergeCell ref="U127:U128"/>
    <mergeCell ref="V127:V128"/>
    <mergeCell ref="W127:W128"/>
    <mergeCell ref="J130:J131"/>
    <mergeCell ref="K130:K131"/>
    <mergeCell ref="L130:L131"/>
    <mergeCell ref="M130:M131"/>
    <mergeCell ref="N130:N131"/>
    <mergeCell ref="O130:O131"/>
    <mergeCell ref="N127:N128"/>
    <mergeCell ref="O127:O128"/>
    <mergeCell ref="P127:P128"/>
    <mergeCell ref="Q127:Q128"/>
    <mergeCell ref="R127:R128"/>
    <mergeCell ref="S127:S128"/>
    <mergeCell ref="F127:F131"/>
    <mergeCell ref="G127:G131"/>
    <mergeCell ref="J127:J128"/>
    <mergeCell ref="K127:K128"/>
    <mergeCell ref="L127:L128"/>
    <mergeCell ref="M127:M128"/>
    <mergeCell ref="S125:S126"/>
    <mergeCell ref="T125:T126"/>
    <mergeCell ref="U125:U126"/>
    <mergeCell ref="V125:V126"/>
    <mergeCell ref="W125:W126"/>
    <mergeCell ref="A127:A131"/>
    <mergeCell ref="B127:B131"/>
    <mergeCell ref="C127:C131"/>
    <mergeCell ref="D127:D131"/>
    <mergeCell ref="E127:E131"/>
    <mergeCell ref="W122:W123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Q122:Q123"/>
    <mergeCell ref="R122:R123"/>
    <mergeCell ref="S122:S123"/>
    <mergeCell ref="T122:T123"/>
    <mergeCell ref="U122:U123"/>
    <mergeCell ref="V122:V123"/>
    <mergeCell ref="K122:K123"/>
    <mergeCell ref="L122:L123"/>
    <mergeCell ref="M122:M123"/>
    <mergeCell ref="N122:N123"/>
    <mergeCell ref="O122:O123"/>
    <mergeCell ref="P122:P123"/>
    <mergeCell ref="V120:V121"/>
    <mergeCell ref="W120:W121"/>
    <mergeCell ref="A122:A126"/>
    <mergeCell ref="B122:B126"/>
    <mergeCell ref="C122:C126"/>
    <mergeCell ref="D122:D126"/>
    <mergeCell ref="E122:E126"/>
    <mergeCell ref="F122:F126"/>
    <mergeCell ref="G122:G126"/>
    <mergeCell ref="J122:J123"/>
    <mergeCell ref="P120:P121"/>
    <mergeCell ref="Q120:Q121"/>
    <mergeCell ref="R120:R121"/>
    <mergeCell ref="S120:S121"/>
    <mergeCell ref="T120:T121"/>
    <mergeCell ref="U120:U121"/>
    <mergeCell ref="T117:T118"/>
    <mergeCell ref="U117:U118"/>
    <mergeCell ref="V117:V118"/>
    <mergeCell ref="W117:W118"/>
    <mergeCell ref="J120:J121"/>
    <mergeCell ref="K120:K121"/>
    <mergeCell ref="L120:L121"/>
    <mergeCell ref="M120:M121"/>
    <mergeCell ref="N120:N121"/>
    <mergeCell ref="O120:O121"/>
    <mergeCell ref="N117:N118"/>
    <mergeCell ref="O117:O118"/>
    <mergeCell ref="P117:P118"/>
    <mergeCell ref="Q117:Q118"/>
    <mergeCell ref="R117:R118"/>
    <mergeCell ref="S117:S118"/>
    <mergeCell ref="F117:F121"/>
    <mergeCell ref="G117:G121"/>
    <mergeCell ref="J117:J118"/>
    <mergeCell ref="K117:K118"/>
    <mergeCell ref="L117:L118"/>
    <mergeCell ref="M117:M118"/>
    <mergeCell ref="S115:S116"/>
    <mergeCell ref="T115:T116"/>
    <mergeCell ref="U115:U116"/>
    <mergeCell ref="V115:V116"/>
    <mergeCell ref="W115:W116"/>
    <mergeCell ref="A117:A121"/>
    <mergeCell ref="B117:B121"/>
    <mergeCell ref="C117:C121"/>
    <mergeCell ref="D117:D121"/>
    <mergeCell ref="E117:E121"/>
    <mergeCell ref="W112:W113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Q112:Q113"/>
    <mergeCell ref="R112:R113"/>
    <mergeCell ref="S112:S113"/>
    <mergeCell ref="T112:T113"/>
    <mergeCell ref="U112:U113"/>
    <mergeCell ref="V112:V113"/>
    <mergeCell ref="K112:K113"/>
    <mergeCell ref="L112:L113"/>
    <mergeCell ref="M112:M113"/>
    <mergeCell ref="N112:N113"/>
    <mergeCell ref="O112:O113"/>
    <mergeCell ref="P112:P113"/>
    <mergeCell ref="V110:V111"/>
    <mergeCell ref="W110:W111"/>
    <mergeCell ref="A112:A116"/>
    <mergeCell ref="B112:B116"/>
    <mergeCell ref="C112:C116"/>
    <mergeCell ref="D112:D116"/>
    <mergeCell ref="E112:E116"/>
    <mergeCell ref="F112:F116"/>
    <mergeCell ref="G112:G116"/>
    <mergeCell ref="J112:J113"/>
    <mergeCell ref="P110:P111"/>
    <mergeCell ref="Q110:Q111"/>
    <mergeCell ref="R110:R111"/>
    <mergeCell ref="S110:S111"/>
    <mergeCell ref="T110:T111"/>
    <mergeCell ref="U110:U111"/>
    <mergeCell ref="T107:T108"/>
    <mergeCell ref="U107:U108"/>
    <mergeCell ref="V107:V108"/>
    <mergeCell ref="W107:W108"/>
    <mergeCell ref="J110:J111"/>
    <mergeCell ref="K110:K111"/>
    <mergeCell ref="L110:L111"/>
    <mergeCell ref="M110:M111"/>
    <mergeCell ref="N110:N111"/>
    <mergeCell ref="O110:O111"/>
    <mergeCell ref="N107:N108"/>
    <mergeCell ref="O107:O108"/>
    <mergeCell ref="P107:P108"/>
    <mergeCell ref="Q107:Q108"/>
    <mergeCell ref="R107:R108"/>
    <mergeCell ref="S107:S108"/>
    <mergeCell ref="F107:F111"/>
    <mergeCell ref="G107:G111"/>
    <mergeCell ref="J107:J108"/>
    <mergeCell ref="K107:K108"/>
    <mergeCell ref="L107:L108"/>
    <mergeCell ref="M107:M108"/>
    <mergeCell ref="S105:S106"/>
    <mergeCell ref="T105:T106"/>
    <mergeCell ref="U105:U106"/>
    <mergeCell ref="V105:V106"/>
    <mergeCell ref="W105:W106"/>
    <mergeCell ref="A107:A111"/>
    <mergeCell ref="B107:B111"/>
    <mergeCell ref="C107:C111"/>
    <mergeCell ref="D107:D111"/>
    <mergeCell ref="E107:E111"/>
    <mergeCell ref="W102:W103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V100:V101"/>
    <mergeCell ref="W100:W101"/>
    <mergeCell ref="A102:A106"/>
    <mergeCell ref="B102:B106"/>
    <mergeCell ref="C102:C106"/>
    <mergeCell ref="D102:D106"/>
    <mergeCell ref="E102:E106"/>
    <mergeCell ref="F102:F106"/>
    <mergeCell ref="G102:G106"/>
    <mergeCell ref="J102:J103"/>
    <mergeCell ref="P100:P101"/>
    <mergeCell ref="Q100:Q101"/>
    <mergeCell ref="R100:R101"/>
    <mergeCell ref="S100:S101"/>
    <mergeCell ref="T100:T101"/>
    <mergeCell ref="U100:U101"/>
    <mergeCell ref="T97:T98"/>
    <mergeCell ref="U97:U98"/>
    <mergeCell ref="V97:V98"/>
    <mergeCell ref="W97:W98"/>
    <mergeCell ref="J100:J101"/>
    <mergeCell ref="K100:K101"/>
    <mergeCell ref="L100:L101"/>
    <mergeCell ref="M100:M101"/>
    <mergeCell ref="N100:N101"/>
    <mergeCell ref="O100:O101"/>
    <mergeCell ref="N97:N98"/>
    <mergeCell ref="O97:O98"/>
    <mergeCell ref="P97:P98"/>
    <mergeCell ref="Q97:Q98"/>
    <mergeCell ref="R97:R98"/>
    <mergeCell ref="S97:S98"/>
    <mergeCell ref="F97:F101"/>
    <mergeCell ref="G97:G101"/>
    <mergeCell ref="J97:J98"/>
    <mergeCell ref="K97:K98"/>
    <mergeCell ref="L97:L98"/>
    <mergeCell ref="M97:M98"/>
    <mergeCell ref="S95:S96"/>
    <mergeCell ref="T95:T96"/>
    <mergeCell ref="U95:U96"/>
    <mergeCell ref="V95:V96"/>
    <mergeCell ref="W95:W96"/>
    <mergeCell ref="A97:A101"/>
    <mergeCell ref="B97:B101"/>
    <mergeCell ref="C97:C101"/>
    <mergeCell ref="D97:D101"/>
    <mergeCell ref="E97:E101"/>
    <mergeCell ref="W92:W93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Q92:Q93"/>
    <mergeCell ref="R92:R93"/>
    <mergeCell ref="S92:S93"/>
    <mergeCell ref="T92:T93"/>
    <mergeCell ref="U92:U93"/>
    <mergeCell ref="V92:V93"/>
    <mergeCell ref="K92:K93"/>
    <mergeCell ref="L92:L93"/>
    <mergeCell ref="M92:M93"/>
    <mergeCell ref="N92:N93"/>
    <mergeCell ref="O92:O93"/>
    <mergeCell ref="P92:P93"/>
    <mergeCell ref="V90:V91"/>
    <mergeCell ref="W90:W91"/>
    <mergeCell ref="A92:A96"/>
    <mergeCell ref="B92:B96"/>
    <mergeCell ref="C92:C96"/>
    <mergeCell ref="D92:D96"/>
    <mergeCell ref="E92:E96"/>
    <mergeCell ref="F92:F96"/>
    <mergeCell ref="G92:G96"/>
    <mergeCell ref="J92:J93"/>
    <mergeCell ref="P90:P91"/>
    <mergeCell ref="Q90:Q91"/>
    <mergeCell ref="R90:R91"/>
    <mergeCell ref="S90:S91"/>
    <mergeCell ref="T90:T91"/>
    <mergeCell ref="U90:U91"/>
    <mergeCell ref="T87:T88"/>
    <mergeCell ref="U87:U88"/>
    <mergeCell ref="V87:V88"/>
    <mergeCell ref="W87:W88"/>
    <mergeCell ref="J90:J91"/>
    <mergeCell ref="K90:K91"/>
    <mergeCell ref="L90:L91"/>
    <mergeCell ref="M90:M91"/>
    <mergeCell ref="N90:N91"/>
    <mergeCell ref="O90:O91"/>
    <mergeCell ref="N87:N88"/>
    <mergeCell ref="O87:O88"/>
    <mergeCell ref="P87:P88"/>
    <mergeCell ref="Q87:Q88"/>
    <mergeCell ref="R87:R88"/>
    <mergeCell ref="S87:S88"/>
    <mergeCell ref="F87:F91"/>
    <mergeCell ref="G87:G91"/>
    <mergeCell ref="J87:J88"/>
    <mergeCell ref="K87:K88"/>
    <mergeCell ref="L87:L88"/>
    <mergeCell ref="M87:M88"/>
    <mergeCell ref="S85:S86"/>
    <mergeCell ref="T85:T86"/>
    <mergeCell ref="U85:U86"/>
    <mergeCell ref="V85:V86"/>
    <mergeCell ref="W85:W86"/>
    <mergeCell ref="A87:A91"/>
    <mergeCell ref="B87:B91"/>
    <mergeCell ref="C87:C91"/>
    <mergeCell ref="D87:D91"/>
    <mergeCell ref="E87:E91"/>
    <mergeCell ref="W82:W83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V80:V81"/>
    <mergeCell ref="W80:W81"/>
    <mergeCell ref="A82:A86"/>
    <mergeCell ref="B82:B86"/>
    <mergeCell ref="C82:C86"/>
    <mergeCell ref="D82:D86"/>
    <mergeCell ref="E82:E86"/>
    <mergeCell ref="F82:F86"/>
    <mergeCell ref="G82:G86"/>
    <mergeCell ref="J82:J83"/>
    <mergeCell ref="P80:P81"/>
    <mergeCell ref="Q80:Q81"/>
    <mergeCell ref="R80:R81"/>
    <mergeCell ref="S80:S81"/>
    <mergeCell ref="T80:T81"/>
    <mergeCell ref="U80:U81"/>
    <mergeCell ref="T77:T78"/>
    <mergeCell ref="U77:U78"/>
    <mergeCell ref="V77:V78"/>
    <mergeCell ref="W77:W78"/>
    <mergeCell ref="J80:J81"/>
    <mergeCell ref="K80:K81"/>
    <mergeCell ref="L80:L81"/>
    <mergeCell ref="M80:M81"/>
    <mergeCell ref="N80:N81"/>
    <mergeCell ref="O80:O81"/>
    <mergeCell ref="N77:N78"/>
    <mergeCell ref="O77:O78"/>
    <mergeCell ref="P77:P78"/>
    <mergeCell ref="Q77:Q78"/>
    <mergeCell ref="R77:R78"/>
    <mergeCell ref="S77:S78"/>
    <mergeCell ref="F77:F81"/>
    <mergeCell ref="G77:G81"/>
    <mergeCell ref="J77:J78"/>
    <mergeCell ref="K77:K78"/>
    <mergeCell ref="L77:L78"/>
    <mergeCell ref="M77:M78"/>
    <mergeCell ref="S75:S76"/>
    <mergeCell ref="T75:T76"/>
    <mergeCell ref="U75:U76"/>
    <mergeCell ref="V75:V76"/>
    <mergeCell ref="W75:W76"/>
    <mergeCell ref="A77:A81"/>
    <mergeCell ref="B77:B81"/>
    <mergeCell ref="C77:C81"/>
    <mergeCell ref="D77:D81"/>
    <mergeCell ref="E77:E81"/>
    <mergeCell ref="W72:W73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Q72:Q73"/>
    <mergeCell ref="R72:R73"/>
    <mergeCell ref="S72:S73"/>
    <mergeCell ref="T72:T73"/>
    <mergeCell ref="U72:U73"/>
    <mergeCell ref="V72:V73"/>
    <mergeCell ref="K72:K73"/>
    <mergeCell ref="L72:L73"/>
    <mergeCell ref="M72:M73"/>
    <mergeCell ref="N72:N73"/>
    <mergeCell ref="O72:O73"/>
    <mergeCell ref="P72:P73"/>
    <mergeCell ref="V70:V71"/>
    <mergeCell ref="W70:W71"/>
    <mergeCell ref="A72:A76"/>
    <mergeCell ref="B72:B76"/>
    <mergeCell ref="C72:C76"/>
    <mergeCell ref="D72:D76"/>
    <mergeCell ref="E72:E76"/>
    <mergeCell ref="F72:F76"/>
    <mergeCell ref="G72:G76"/>
    <mergeCell ref="J72:J73"/>
    <mergeCell ref="P70:P71"/>
    <mergeCell ref="Q70:Q71"/>
    <mergeCell ref="R70:R71"/>
    <mergeCell ref="S70:S71"/>
    <mergeCell ref="T70:T71"/>
    <mergeCell ref="U70:U71"/>
    <mergeCell ref="T67:T68"/>
    <mergeCell ref="U67:U68"/>
    <mergeCell ref="V67:V68"/>
    <mergeCell ref="W67:W68"/>
    <mergeCell ref="J70:J71"/>
    <mergeCell ref="K70:K71"/>
    <mergeCell ref="L70:L71"/>
    <mergeCell ref="M70:M71"/>
    <mergeCell ref="N70:N71"/>
    <mergeCell ref="O70:O71"/>
    <mergeCell ref="N67:N68"/>
    <mergeCell ref="O67:O68"/>
    <mergeCell ref="P67:P68"/>
    <mergeCell ref="Q67:Q68"/>
    <mergeCell ref="R67:R68"/>
    <mergeCell ref="S67:S68"/>
    <mergeCell ref="F67:F71"/>
    <mergeCell ref="G67:G71"/>
    <mergeCell ref="J67:J68"/>
    <mergeCell ref="K67:K68"/>
    <mergeCell ref="L67:L68"/>
    <mergeCell ref="M67:M68"/>
    <mergeCell ref="S65:S66"/>
    <mergeCell ref="T65:T66"/>
    <mergeCell ref="U65:U66"/>
    <mergeCell ref="V65:V66"/>
    <mergeCell ref="W65:W66"/>
    <mergeCell ref="A67:A71"/>
    <mergeCell ref="B67:B71"/>
    <mergeCell ref="C67:C71"/>
    <mergeCell ref="D67:D71"/>
    <mergeCell ref="E67:E71"/>
    <mergeCell ref="W62:W63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V60:V61"/>
    <mergeCell ref="W60:W61"/>
    <mergeCell ref="A62:A66"/>
    <mergeCell ref="B62:B66"/>
    <mergeCell ref="C62:C66"/>
    <mergeCell ref="D62:D66"/>
    <mergeCell ref="E62:E66"/>
    <mergeCell ref="F62:F66"/>
    <mergeCell ref="G62:G66"/>
    <mergeCell ref="J62:J63"/>
    <mergeCell ref="P60:P61"/>
    <mergeCell ref="Q60:Q61"/>
    <mergeCell ref="R60:R61"/>
    <mergeCell ref="S60:S61"/>
    <mergeCell ref="T60:T61"/>
    <mergeCell ref="U60:U61"/>
    <mergeCell ref="T57:T58"/>
    <mergeCell ref="U57:U58"/>
    <mergeCell ref="V57:V58"/>
    <mergeCell ref="W57:W58"/>
    <mergeCell ref="J60:J61"/>
    <mergeCell ref="K60:K61"/>
    <mergeCell ref="L60:L61"/>
    <mergeCell ref="M60:M61"/>
    <mergeCell ref="N60:N61"/>
    <mergeCell ref="O60:O61"/>
    <mergeCell ref="N57:N58"/>
    <mergeCell ref="O57:O58"/>
    <mergeCell ref="P57:P58"/>
    <mergeCell ref="Q57:Q58"/>
    <mergeCell ref="R57:R58"/>
    <mergeCell ref="S57:S58"/>
    <mergeCell ref="F57:F61"/>
    <mergeCell ref="G57:G61"/>
    <mergeCell ref="J57:J58"/>
    <mergeCell ref="K57:K58"/>
    <mergeCell ref="L57:L58"/>
    <mergeCell ref="M57:M58"/>
    <mergeCell ref="S55:S56"/>
    <mergeCell ref="T55:T56"/>
    <mergeCell ref="U55:U56"/>
    <mergeCell ref="V55:V56"/>
    <mergeCell ref="W55:W56"/>
    <mergeCell ref="A57:A61"/>
    <mergeCell ref="B57:B61"/>
    <mergeCell ref="C57:C61"/>
    <mergeCell ref="D57:D61"/>
    <mergeCell ref="E57:E61"/>
    <mergeCell ref="W52:W53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V50:V51"/>
    <mergeCell ref="W50:W51"/>
    <mergeCell ref="A52:A56"/>
    <mergeCell ref="B52:B56"/>
    <mergeCell ref="C52:C56"/>
    <mergeCell ref="D52:D56"/>
    <mergeCell ref="E52:E56"/>
    <mergeCell ref="F52:F56"/>
    <mergeCell ref="G52:G56"/>
    <mergeCell ref="J52:J53"/>
    <mergeCell ref="P50:P51"/>
    <mergeCell ref="Q50:Q51"/>
    <mergeCell ref="R50:R51"/>
    <mergeCell ref="S50:S51"/>
    <mergeCell ref="T50:T51"/>
    <mergeCell ref="U50:U51"/>
    <mergeCell ref="T47:T48"/>
    <mergeCell ref="U47:U48"/>
    <mergeCell ref="V47:V48"/>
    <mergeCell ref="W47:W48"/>
    <mergeCell ref="J50:J51"/>
    <mergeCell ref="K50:K51"/>
    <mergeCell ref="L50:L51"/>
    <mergeCell ref="M50:M51"/>
    <mergeCell ref="N50:N51"/>
    <mergeCell ref="O50:O51"/>
    <mergeCell ref="N47:N48"/>
    <mergeCell ref="O47:O48"/>
    <mergeCell ref="P47:P48"/>
    <mergeCell ref="Q47:Q48"/>
    <mergeCell ref="R47:R48"/>
    <mergeCell ref="S47:S48"/>
    <mergeCell ref="F47:F51"/>
    <mergeCell ref="G47:G51"/>
    <mergeCell ref="J47:J48"/>
    <mergeCell ref="K47:K48"/>
    <mergeCell ref="L47:L48"/>
    <mergeCell ref="M47:M48"/>
    <mergeCell ref="S45:S46"/>
    <mergeCell ref="T45:T46"/>
    <mergeCell ref="U45:U46"/>
    <mergeCell ref="V45:V46"/>
    <mergeCell ref="W45:W46"/>
    <mergeCell ref="A47:A51"/>
    <mergeCell ref="B47:B51"/>
    <mergeCell ref="C47:C51"/>
    <mergeCell ref="D47:D51"/>
    <mergeCell ref="E47:E51"/>
    <mergeCell ref="W42:W43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V40:V41"/>
    <mergeCell ref="W40:W41"/>
    <mergeCell ref="A42:A46"/>
    <mergeCell ref="B42:B46"/>
    <mergeCell ref="C42:C46"/>
    <mergeCell ref="D42:D46"/>
    <mergeCell ref="E42:E46"/>
    <mergeCell ref="F42:F46"/>
    <mergeCell ref="G42:G46"/>
    <mergeCell ref="J42:J43"/>
    <mergeCell ref="P40:P41"/>
    <mergeCell ref="Q40:Q41"/>
    <mergeCell ref="R40:R41"/>
    <mergeCell ref="S40:S41"/>
    <mergeCell ref="T40:T41"/>
    <mergeCell ref="U40:U41"/>
    <mergeCell ref="T37:T38"/>
    <mergeCell ref="U37:U38"/>
    <mergeCell ref="V37:V38"/>
    <mergeCell ref="W37:W38"/>
    <mergeCell ref="J40:J41"/>
    <mergeCell ref="K40:K41"/>
    <mergeCell ref="L40:L41"/>
    <mergeCell ref="M40:M41"/>
    <mergeCell ref="N40:N41"/>
    <mergeCell ref="O40:O41"/>
    <mergeCell ref="N37:N38"/>
    <mergeCell ref="O37:O38"/>
    <mergeCell ref="P37:P38"/>
    <mergeCell ref="Q37:Q38"/>
    <mergeCell ref="R37:R38"/>
    <mergeCell ref="S37:S38"/>
    <mergeCell ref="F37:F41"/>
    <mergeCell ref="G37:G41"/>
    <mergeCell ref="J37:J38"/>
    <mergeCell ref="K37:K38"/>
    <mergeCell ref="L37:L38"/>
    <mergeCell ref="M37:M38"/>
    <mergeCell ref="S35:S36"/>
    <mergeCell ref="T35:T36"/>
    <mergeCell ref="U35:U36"/>
    <mergeCell ref="V35:V36"/>
    <mergeCell ref="W35:W36"/>
    <mergeCell ref="A37:A41"/>
    <mergeCell ref="B37:B41"/>
    <mergeCell ref="C37:C41"/>
    <mergeCell ref="D37:D41"/>
    <mergeCell ref="E37:E41"/>
    <mergeCell ref="W32:W33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Q32:Q33"/>
    <mergeCell ref="R32:R33"/>
    <mergeCell ref="S32:S33"/>
    <mergeCell ref="T32:T33"/>
    <mergeCell ref="U32:U33"/>
    <mergeCell ref="V32:V33"/>
    <mergeCell ref="K32:K33"/>
    <mergeCell ref="L32:L33"/>
    <mergeCell ref="M32:M33"/>
    <mergeCell ref="N32:N33"/>
    <mergeCell ref="O32:O33"/>
    <mergeCell ref="P32:P33"/>
    <mergeCell ref="V30:V31"/>
    <mergeCell ref="W30:W31"/>
    <mergeCell ref="A32:A36"/>
    <mergeCell ref="B32:B36"/>
    <mergeCell ref="C32:C36"/>
    <mergeCell ref="D32:D36"/>
    <mergeCell ref="E32:E36"/>
    <mergeCell ref="F32:F36"/>
    <mergeCell ref="G32:G36"/>
    <mergeCell ref="J32:J33"/>
    <mergeCell ref="P30:P31"/>
    <mergeCell ref="Q30:Q31"/>
    <mergeCell ref="R30:R31"/>
    <mergeCell ref="S30:S31"/>
    <mergeCell ref="T30:T31"/>
    <mergeCell ref="U30:U31"/>
    <mergeCell ref="T27:T28"/>
    <mergeCell ref="U27:U28"/>
    <mergeCell ref="V27:V28"/>
    <mergeCell ref="W27:W28"/>
    <mergeCell ref="J30:J31"/>
    <mergeCell ref="K30:K31"/>
    <mergeCell ref="L30:L31"/>
    <mergeCell ref="M30:M31"/>
    <mergeCell ref="N30:N31"/>
    <mergeCell ref="O30:O31"/>
    <mergeCell ref="N27:N28"/>
    <mergeCell ref="O27:O28"/>
    <mergeCell ref="P27:P28"/>
    <mergeCell ref="Q27:Q28"/>
    <mergeCell ref="R27:R28"/>
    <mergeCell ref="S27:S28"/>
    <mergeCell ref="F27:F31"/>
    <mergeCell ref="G27:G31"/>
    <mergeCell ref="J27:J28"/>
    <mergeCell ref="K27:K28"/>
    <mergeCell ref="L27:L28"/>
    <mergeCell ref="M27:M28"/>
    <mergeCell ref="S25:S26"/>
    <mergeCell ref="T25:T26"/>
    <mergeCell ref="U25:U26"/>
    <mergeCell ref="V25:V26"/>
    <mergeCell ref="W25:W26"/>
    <mergeCell ref="A27:A31"/>
    <mergeCell ref="B27:B31"/>
    <mergeCell ref="C27:C31"/>
    <mergeCell ref="D27:D31"/>
    <mergeCell ref="E27:E31"/>
    <mergeCell ref="W22:W23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V20:V21"/>
    <mergeCell ref="W20:W21"/>
    <mergeCell ref="A22:A26"/>
    <mergeCell ref="B22:B26"/>
    <mergeCell ref="C22:C26"/>
    <mergeCell ref="D22:D26"/>
    <mergeCell ref="E22:E26"/>
    <mergeCell ref="F22:F26"/>
    <mergeCell ref="G22:G26"/>
    <mergeCell ref="J22:J23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A16:W16"/>
    <mergeCell ref="A17:A21"/>
    <mergeCell ref="B17:B21"/>
    <mergeCell ref="C17:C21"/>
    <mergeCell ref="D17:D21"/>
    <mergeCell ref="E17:E21"/>
    <mergeCell ref="F17:F21"/>
    <mergeCell ref="G17:G21"/>
    <mergeCell ref="J17:J18"/>
    <mergeCell ref="K17:K18"/>
    <mergeCell ref="A14:W14"/>
    <mergeCell ref="A15:W15"/>
    <mergeCell ref="M11:M12"/>
    <mergeCell ref="O11:O12"/>
    <mergeCell ref="P11:P12"/>
    <mergeCell ref="Q11:Q12"/>
    <mergeCell ref="R10:T10"/>
    <mergeCell ref="U10:W10"/>
    <mergeCell ref="T11:T12"/>
    <mergeCell ref="U11:U12"/>
    <mergeCell ref="V11:V12"/>
    <mergeCell ref="W11:W12"/>
    <mergeCell ref="F7:F12"/>
    <mergeCell ref="G7:G12"/>
    <mergeCell ref="R11:R12"/>
    <mergeCell ref="S11:S12"/>
    <mergeCell ref="J7:W8"/>
    <mergeCell ref="J9:J12"/>
    <mergeCell ref="K9:M10"/>
    <mergeCell ref="N9:N12"/>
    <mergeCell ref="O9:W9"/>
    <mergeCell ref="O10:Q10"/>
    <mergeCell ref="H7:H8"/>
    <mergeCell ref="I7:I8"/>
    <mergeCell ref="K11:K12"/>
    <mergeCell ref="L11:L12"/>
    <mergeCell ref="A5:W5"/>
    <mergeCell ref="A7:A12"/>
    <mergeCell ref="B7:B12"/>
    <mergeCell ref="C7:C12"/>
    <mergeCell ref="D7:D12"/>
    <mergeCell ref="E7:E12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view="pageBreakPreview" topLeftCell="A10" zoomScaleNormal="100" zoomScaleSheetLayoutView="100" workbookViewId="0">
      <selection activeCell="T1" sqref="A1:V152"/>
    </sheetView>
  </sheetViews>
  <sheetFormatPr defaultRowHeight="15"/>
  <cols>
    <col min="1" max="1" width="5.375" style="720" customWidth="1"/>
    <col min="2" max="2" width="13.125" style="720" customWidth="1"/>
    <col min="3" max="3" width="43.875" style="720" customWidth="1"/>
    <col min="4" max="4" width="10.75" style="720" customWidth="1"/>
    <col min="5" max="5" width="10.375" style="720" customWidth="1"/>
    <col min="6" max="6" width="11" style="720" customWidth="1"/>
    <col min="7" max="8" width="12.125" style="720" customWidth="1"/>
    <col min="9" max="9" width="12.875" style="720" customWidth="1"/>
    <col min="10" max="11" width="12.125" style="720" customWidth="1"/>
    <col min="12" max="12" width="11.375" style="720" customWidth="1"/>
    <col min="13" max="14" width="11.875" style="720" customWidth="1"/>
    <col min="15" max="15" width="11.75" style="720" customWidth="1"/>
    <col min="16" max="16" width="11.375" style="720" customWidth="1"/>
    <col min="17" max="17" width="11.875" style="720" customWidth="1"/>
    <col min="18" max="18" width="11.375" style="720" customWidth="1"/>
    <col min="19" max="19" width="11.125" style="720" customWidth="1"/>
    <col min="20" max="20" width="12.875" style="720" customWidth="1"/>
    <col min="21" max="21" width="11.75" style="720" customWidth="1"/>
    <col min="22" max="22" width="11" style="720" customWidth="1"/>
    <col min="23" max="16384" width="9" style="720"/>
  </cols>
  <sheetData>
    <row r="1" spans="1:24" s="681" customFormat="1" ht="15.75">
      <c r="A1" s="680" t="s">
        <v>486</v>
      </c>
      <c r="T1" s="1162" t="s">
        <v>1040</v>
      </c>
      <c r="U1" s="1162"/>
      <c r="V1" s="1162"/>
    </row>
    <row r="2" spans="1:24" s="681" customFormat="1" ht="15.75">
      <c r="A2" s="680"/>
      <c r="T2" s="1162" t="s">
        <v>1041</v>
      </c>
      <c r="U2" s="1162"/>
      <c r="V2" s="1162"/>
    </row>
    <row r="3" spans="1:24" s="681" customFormat="1" ht="15.75">
      <c r="A3" s="680"/>
      <c r="T3" s="1162" t="s">
        <v>634</v>
      </c>
      <c r="U3" s="1162"/>
      <c r="V3" s="1162"/>
    </row>
    <row r="4" spans="1:24" s="681" customFormat="1" ht="5.25" customHeight="1">
      <c r="A4" s="680"/>
    </row>
    <row r="5" spans="1:24" s="681" customFormat="1" ht="6.75" customHeight="1">
      <c r="A5" s="680"/>
    </row>
    <row r="6" spans="1:24" s="681" customFormat="1" ht="43.5" customHeight="1">
      <c r="A6" s="1163" t="s">
        <v>972</v>
      </c>
      <c r="B6" s="1163"/>
      <c r="C6" s="1163"/>
      <c r="D6" s="1163"/>
      <c r="E6" s="1163"/>
      <c r="F6" s="1163"/>
      <c r="G6" s="1163"/>
      <c r="H6" s="1163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163"/>
      <c r="V6" s="1163"/>
      <c r="W6" s="713"/>
      <c r="X6" s="713"/>
    </row>
    <row r="7" spans="1:24" s="681" customFormat="1" ht="8.25" customHeight="1">
      <c r="A7" s="683"/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4" t="s">
        <v>2</v>
      </c>
    </row>
    <row r="8" spans="1:24" s="681" customFormat="1" ht="24" customHeight="1">
      <c r="A8" s="1107" t="s">
        <v>700</v>
      </c>
      <c r="B8" s="1110" t="s">
        <v>973</v>
      </c>
      <c r="C8" s="1113" t="s">
        <v>974</v>
      </c>
      <c r="D8" s="1113" t="s">
        <v>704</v>
      </c>
      <c r="E8" s="1110" t="s">
        <v>705</v>
      </c>
      <c r="F8" s="1113" t="s">
        <v>230</v>
      </c>
      <c r="G8" s="1103" t="s">
        <v>975</v>
      </c>
      <c r="H8" s="1103" t="s">
        <v>976</v>
      </c>
      <c r="I8" s="1116" t="s">
        <v>708</v>
      </c>
      <c r="J8" s="1116"/>
      <c r="K8" s="1116"/>
      <c r="L8" s="1116"/>
      <c r="M8" s="1116"/>
      <c r="N8" s="1116"/>
      <c r="O8" s="1116"/>
      <c r="P8" s="1116"/>
      <c r="Q8" s="1116"/>
      <c r="R8" s="1116"/>
      <c r="S8" s="1116"/>
      <c r="T8" s="1116"/>
      <c r="U8" s="1116"/>
      <c r="V8" s="1116"/>
    </row>
    <row r="9" spans="1:24" s="685" customFormat="1" ht="25.5" customHeight="1">
      <c r="A9" s="1108"/>
      <c r="B9" s="1111"/>
      <c r="C9" s="1114"/>
      <c r="D9" s="1114"/>
      <c r="E9" s="1111"/>
      <c r="F9" s="1114"/>
      <c r="G9" s="1103"/>
      <c r="H9" s="1103"/>
      <c r="I9" s="1116"/>
      <c r="J9" s="1116"/>
      <c r="K9" s="1116"/>
      <c r="L9" s="1116"/>
      <c r="M9" s="1116"/>
      <c r="N9" s="1116"/>
      <c r="O9" s="1116"/>
      <c r="P9" s="1116"/>
      <c r="Q9" s="1116"/>
      <c r="R9" s="1116"/>
      <c r="S9" s="1116"/>
      <c r="T9" s="1116"/>
      <c r="U9" s="1116"/>
      <c r="V9" s="1116"/>
    </row>
    <row r="10" spans="1:24" s="685" customFormat="1" ht="15.75" customHeight="1">
      <c r="A10" s="1108"/>
      <c r="B10" s="1111"/>
      <c r="C10" s="1114"/>
      <c r="D10" s="1114"/>
      <c r="E10" s="1111"/>
      <c r="F10" s="1114"/>
      <c r="G10" s="686" t="s">
        <v>709</v>
      </c>
      <c r="H10" s="686" t="s">
        <v>709</v>
      </c>
      <c r="I10" s="1116" t="s">
        <v>710</v>
      </c>
      <c r="J10" s="1117" t="s">
        <v>711</v>
      </c>
      <c r="K10" s="1117"/>
      <c r="L10" s="1117"/>
      <c r="M10" s="1118" t="s">
        <v>712</v>
      </c>
      <c r="N10" s="1117" t="s">
        <v>977</v>
      </c>
      <c r="O10" s="1117"/>
      <c r="P10" s="1117"/>
      <c r="Q10" s="1117"/>
      <c r="R10" s="1117"/>
      <c r="S10" s="1117"/>
      <c r="T10" s="1117"/>
      <c r="U10" s="1117"/>
      <c r="V10" s="1117"/>
    </row>
    <row r="11" spans="1:24" s="685" customFormat="1" ht="12.75" customHeight="1">
      <c r="A11" s="1108"/>
      <c r="B11" s="1111"/>
      <c r="C11" s="1114"/>
      <c r="D11" s="1114"/>
      <c r="E11" s="1111"/>
      <c r="F11" s="1114"/>
      <c r="G11" s="686" t="s">
        <v>714</v>
      </c>
      <c r="H11" s="686" t="s">
        <v>714</v>
      </c>
      <c r="I11" s="1116"/>
      <c r="J11" s="1117"/>
      <c r="K11" s="1117"/>
      <c r="L11" s="1117"/>
      <c r="M11" s="1118"/>
      <c r="N11" s="1105" t="s">
        <v>715</v>
      </c>
      <c r="O11" s="1105"/>
      <c r="P11" s="1105"/>
      <c r="Q11" s="1105" t="s">
        <v>716</v>
      </c>
      <c r="R11" s="1105"/>
      <c r="S11" s="1105"/>
      <c r="T11" s="1118" t="s">
        <v>978</v>
      </c>
      <c r="U11" s="1118"/>
      <c r="V11" s="1118"/>
    </row>
    <row r="12" spans="1:24" s="685" customFormat="1" ht="14.25" customHeight="1">
      <c r="A12" s="1108"/>
      <c r="B12" s="1111"/>
      <c r="C12" s="1114"/>
      <c r="D12" s="1114"/>
      <c r="E12" s="1111"/>
      <c r="F12" s="1114"/>
      <c r="G12" s="686" t="s">
        <v>421</v>
      </c>
      <c r="H12" s="686" t="s">
        <v>421</v>
      </c>
      <c r="I12" s="1116"/>
      <c r="J12" s="1105" t="s">
        <v>6</v>
      </c>
      <c r="K12" s="1105" t="s">
        <v>718</v>
      </c>
      <c r="L12" s="1105" t="s">
        <v>719</v>
      </c>
      <c r="M12" s="1118"/>
      <c r="N12" s="1105" t="s">
        <v>6</v>
      </c>
      <c r="O12" s="1105" t="s">
        <v>720</v>
      </c>
      <c r="P12" s="1122" t="s">
        <v>719</v>
      </c>
      <c r="Q12" s="1105" t="s">
        <v>6</v>
      </c>
      <c r="R12" s="1105" t="s">
        <v>720</v>
      </c>
      <c r="S12" s="1119" t="s">
        <v>719</v>
      </c>
      <c r="T12" s="1118" t="s">
        <v>721</v>
      </c>
      <c r="U12" s="1105" t="s">
        <v>720</v>
      </c>
      <c r="V12" s="1119" t="s">
        <v>719</v>
      </c>
    </row>
    <row r="13" spans="1:24" s="685" customFormat="1" ht="16.5" customHeight="1">
      <c r="A13" s="1109"/>
      <c r="B13" s="1112"/>
      <c r="C13" s="1115"/>
      <c r="D13" s="1115"/>
      <c r="E13" s="1112"/>
      <c r="F13" s="1115"/>
      <c r="G13" s="686" t="s">
        <v>978</v>
      </c>
      <c r="H13" s="686" t="s">
        <v>978</v>
      </c>
      <c r="I13" s="1116"/>
      <c r="J13" s="1105"/>
      <c r="K13" s="1105"/>
      <c r="L13" s="1105"/>
      <c r="M13" s="1118"/>
      <c r="N13" s="1105"/>
      <c r="O13" s="1105"/>
      <c r="P13" s="1122"/>
      <c r="Q13" s="1105"/>
      <c r="R13" s="1105"/>
      <c r="S13" s="1119"/>
      <c r="T13" s="1118"/>
      <c r="U13" s="1105"/>
      <c r="V13" s="1119"/>
    </row>
    <row r="14" spans="1:24" s="688" customFormat="1" ht="12.75" customHeight="1">
      <c r="A14" s="687">
        <v>1</v>
      </c>
      <c r="B14" s="687">
        <v>2</v>
      </c>
      <c r="C14" s="687">
        <v>3</v>
      </c>
      <c r="D14" s="687">
        <v>4</v>
      </c>
      <c r="E14" s="687">
        <v>5</v>
      </c>
      <c r="F14" s="687">
        <v>6</v>
      </c>
      <c r="G14" s="687">
        <v>7</v>
      </c>
      <c r="H14" s="687">
        <v>8</v>
      </c>
      <c r="I14" s="687" t="s">
        <v>723</v>
      </c>
      <c r="J14" s="687" t="s">
        <v>724</v>
      </c>
      <c r="K14" s="687">
        <v>11</v>
      </c>
      <c r="L14" s="687">
        <v>12</v>
      </c>
      <c r="M14" s="687" t="s">
        <v>725</v>
      </c>
      <c r="N14" s="687" t="s">
        <v>726</v>
      </c>
      <c r="O14" s="687">
        <v>15</v>
      </c>
      <c r="P14" s="687">
        <v>16</v>
      </c>
      <c r="Q14" s="687" t="s">
        <v>727</v>
      </c>
      <c r="R14" s="687">
        <v>18</v>
      </c>
      <c r="S14" s="687">
        <v>19</v>
      </c>
      <c r="T14" s="687" t="s">
        <v>728</v>
      </c>
      <c r="U14" s="687">
        <v>21</v>
      </c>
      <c r="V14" s="687">
        <v>22</v>
      </c>
    </row>
    <row r="15" spans="1:24" s="688" customFormat="1" ht="6" customHeight="1">
      <c r="A15" s="1120"/>
      <c r="B15" s="1120"/>
      <c r="C15" s="1120"/>
      <c r="D15" s="1120"/>
      <c r="E15" s="1120"/>
      <c r="F15" s="1120"/>
      <c r="G15" s="1120"/>
      <c r="H15" s="1120"/>
      <c r="I15" s="1120"/>
      <c r="J15" s="1120"/>
      <c r="K15" s="1120"/>
      <c r="L15" s="1120"/>
      <c r="M15" s="1120"/>
      <c r="N15" s="1120"/>
      <c r="O15" s="1120"/>
      <c r="P15" s="1120"/>
      <c r="Q15" s="1120"/>
      <c r="R15" s="1120"/>
      <c r="S15" s="1120"/>
      <c r="T15" s="1120"/>
      <c r="U15" s="1120"/>
      <c r="V15" s="1120"/>
    </row>
    <row r="16" spans="1:24" s="688" customFormat="1" ht="19.5" customHeight="1">
      <c r="A16" s="1121" t="s">
        <v>979</v>
      </c>
      <c r="B16" s="1121"/>
      <c r="C16" s="1121"/>
      <c r="D16" s="1121"/>
      <c r="E16" s="1121"/>
      <c r="F16" s="1121"/>
      <c r="G16" s="1121"/>
      <c r="H16" s="1121"/>
      <c r="I16" s="1121"/>
      <c r="J16" s="1121"/>
      <c r="K16" s="1121"/>
      <c r="L16" s="1121"/>
      <c r="M16" s="1121"/>
      <c r="N16" s="1121"/>
      <c r="O16" s="1121"/>
      <c r="P16" s="1121"/>
      <c r="Q16" s="1121"/>
      <c r="R16" s="1121"/>
      <c r="S16" s="1121"/>
      <c r="T16" s="1121"/>
      <c r="U16" s="1121"/>
      <c r="V16" s="1121"/>
      <c r="W16" s="689"/>
    </row>
    <row r="17" spans="1:23" s="688" customFormat="1" ht="6" customHeight="1">
      <c r="A17" s="1123"/>
      <c r="B17" s="1123"/>
      <c r="C17" s="1123"/>
      <c r="D17" s="1123"/>
      <c r="E17" s="1123"/>
      <c r="F17" s="1123"/>
      <c r="G17" s="1123"/>
      <c r="H17" s="1123"/>
      <c r="I17" s="1123"/>
      <c r="J17" s="1123"/>
      <c r="K17" s="1123"/>
      <c r="L17" s="1123"/>
      <c r="M17" s="1123"/>
      <c r="N17" s="1123"/>
      <c r="O17" s="1123"/>
      <c r="P17" s="1123"/>
      <c r="Q17" s="1123"/>
      <c r="R17" s="1123"/>
      <c r="S17" s="1123"/>
      <c r="T17" s="1123"/>
      <c r="U17" s="1123"/>
      <c r="V17" s="1123"/>
      <c r="W17" s="690"/>
    </row>
    <row r="18" spans="1:23" s="715" customFormat="1" ht="13.5" hidden="1" customHeight="1">
      <c r="A18" s="1125">
        <v>1</v>
      </c>
      <c r="B18" s="1125" t="s">
        <v>980</v>
      </c>
      <c r="C18" s="1164" t="s">
        <v>981</v>
      </c>
      <c r="D18" s="1124" t="s">
        <v>243</v>
      </c>
      <c r="E18" s="1167" t="s">
        <v>982</v>
      </c>
      <c r="F18" s="1125" t="s">
        <v>983</v>
      </c>
      <c r="G18" s="714">
        <f>G19+G20+G21+G22</f>
        <v>10902616</v>
      </c>
      <c r="H18" s="714">
        <f>H19+H20+H21+H22</f>
        <v>7635566</v>
      </c>
      <c r="I18" s="1168">
        <f>J18+M18</f>
        <v>1712050</v>
      </c>
      <c r="J18" s="1168">
        <f>K18+L18</f>
        <v>1455242</v>
      </c>
      <c r="K18" s="1129">
        <v>1455242</v>
      </c>
      <c r="L18" s="1129">
        <v>0</v>
      </c>
      <c r="M18" s="1168">
        <f>N18+Q18+T18</f>
        <v>256808</v>
      </c>
      <c r="N18" s="1168">
        <f>O18+P18</f>
        <v>256808</v>
      </c>
      <c r="O18" s="1129">
        <v>256808</v>
      </c>
      <c r="P18" s="1129">
        <v>0</v>
      </c>
      <c r="Q18" s="1168">
        <f>R18+S18</f>
        <v>0</v>
      </c>
      <c r="R18" s="1129">
        <v>0</v>
      </c>
      <c r="S18" s="1129">
        <v>0</v>
      </c>
      <c r="T18" s="1168">
        <f>U18+V18</f>
        <v>0</v>
      </c>
      <c r="U18" s="1129">
        <v>0</v>
      </c>
      <c r="V18" s="1129">
        <v>0</v>
      </c>
    </row>
    <row r="19" spans="1:23" s="715" customFormat="1" ht="13.5" hidden="1" customHeight="1">
      <c r="A19" s="1125"/>
      <c r="B19" s="1125"/>
      <c r="C19" s="1165"/>
      <c r="D19" s="1124"/>
      <c r="E19" s="1167"/>
      <c r="F19" s="1125"/>
      <c r="G19" s="714">
        <v>9267191</v>
      </c>
      <c r="H19" s="714">
        <v>6490199</v>
      </c>
      <c r="I19" s="1168"/>
      <c r="J19" s="1168"/>
      <c r="K19" s="1129"/>
      <c r="L19" s="1129"/>
      <c r="M19" s="1168"/>
      <c r="N19" s="1168"/>
      <c r="O19" s="1129"/>
      <c r="P19" s="1129"/>
      <c r="Q19" s="1168"/>
      <c r="R19" s="1129"/>
      <c r="S19" s="1129"/>
      <c r="T19" s="1168"/>
      <c r="U19" s="1129"/>
      <c r="V19" s="1129"/>
    </row>
    <row r="20" spans="1:23" s="715" customFormat="1" ht="13.5" hidden="1" customHeight="1">
      <c r="A20" s="1125"/>
      <c r="B20" s="1125"/>
      <c r="C20" s="1165"/>
      <c r="D20" s="1124"/>
      <c r="E20" s="1167"/>
      <c r="F20" s="1125"/>
      <c r="G20" s="714">
        <v>1635386</v>
      </c>
      <c r="H20" s="714">
        <v>1145328</v>
      </c>
      <c r="I20" s="716">
        <f>J20+M20</f>
        <v>0</v>
      </c>
      <c r="J20" s="716">
        <f>K20+L20</f>
        <v>0</v>
      </c>
      <c r="K20" s="694">
        <v>0</v>
      </c>
      <c r="L20" s="694">
        <v>0</v>
      </c>
      <c r="M20" s="716">
        <f>N20+Q20+T20</f>
        <v>0</v>
      </c>
      <c r="N20" s="716">
        <f>O20+P20</f>
        <v>0</v>
      </c>
      <c r="O20" s="694">
        <v>0</v>
      </c>
      <c r="P20" s="694">
        <v>0</v>
      </c>
      <c r="Q20" s="716">
        <f>R20+S20</f>
        <v>0</v>
      </c>
      <c r="R20" s="694">
        <v>0</v>
      </c>
      <c r="S20" s="694">
        <v>0</v>
      </c>
      <c r="T20" s="716">
        <f>U20+V20</f>
        <v>0</v>
      </c>
      <c r="U20" s="694">
        <v>0</v>
      </c>
      <c r="V20" s="694">
        <v>0</v>
      </c>
    </row>
    <row r="21" spans="1:23" s="715" customFormat="1" ht="13.5" hidden="1" customHeight="1">
      <c r="A21" s="1125"/>
      <c r="B21" s="1125"/>
      <c r="C21" s="1165"/>
      <c r="D21" s="1124"/>
      <c r="E21" s="1167"/>
      <c r="F21" s="1125"/>
      <c r="G21" s="714">
        <v>39</v>
      </c>
      <c r="H21" s="714">
        <v>39</v>
      </c>
      <c r="I21" s="1168">
        <f>I18+I20</f>
        <v>1712050</v>
      </c>
      <c r="J21" s="1168">
        <f t="shared" ref="J21:V21" si="0">J18+J20</f>
        <v>1455242</v>
      </c>
      <c r="K21" s="1129">
        <f t="shared" si="0"/>
        <v>1455242</v>
      </c>
      <c r="L21" s="1129">
        <f t="shared" si="0"/>
        <v>0</v>
      </c>
      <c r="M21" s="1168">
        <f t="shared" si="0"/>
        <v>256808</v>
      </c>
      <c r="N21" s="1168">
        <f t="shared" si="0"/>
        <v>256808</v>
      </c>
      <c r="O21" s="1129">
        <f t="shared" si="0"/>
        <v>256808</v>
      </c>
      <c r="P21" s="1129">
        <f t="shared" si="0"/>
        <v>0</v>
      </c>
      <c r="Q21" s="1168">
        <f t="shared" si="0"/>
        <v>0</v>
      </c>
      <c r="R21" s="1129">
        <f t="shared" si="0"/>
        <v>0</v>
      </c>
      <c r="S21" s="1129">
        <f t="shared" si="0"/>
        <v>0</v>
      </c>
      <c r="T21" s="1168">
        <f t="shared" si="0"/>
        <v>0</v>
      </c>
      <c r="U21" s="1129">
        <f t="shared" si="0"/>
        <v>0</v>
      </c>
      <c r="V21" s="1129">
        <f t="shared" si="0"/>
        <v>0</v>
      </c>
    </row>
    <row r="22" spans="1:23" s="715" customFormat="1" ht="13.5" hidden="1" customHeight="1">
      <c r="A22" s="1125"/>
      <c r="B22" s="1125"/>
      <c r="C22" s="1166"/>
      <c r="D22" s="1124"/>
      <c r="E22" s="1167"/>
      <c r="F22" s="1125"/>
      <c r="G22" s="714">
        <v>0</v>
      </c>
      <c r="H22" s="714">
        <v>0</v>
      </c>
      <c r="I22" s="1168"/>
      <c r="J22" s="1168"/>
      <c r="K22" s="1129"/>
      <c r="L22" s="1129"/>
      <c r="M22" s="1168"/>
      <c r="N22" s="1168"/>
      <c r="O22" s="1129"/>
      <c r="P22" s="1129"/>
      <c r="Q22" s="1168"/>
      <c r="R22" s="1129"/>
      <c r="S22" s="1129"/>
      <c r="T22" s="1168"/>
      <c r="U22" s="1129"/>
      <c r="V22" s="1129"/>
    </row>
    <row r="23" spans="1:23" s="715" customFormat="1" ht="13.5" hidden="1" customHeight="1">
      <c r="A23" s="1125">
        <v>2</v>
      </c>
      <c r="B23" s="1125" t="s">
        <v>980</v>
      </c>
      <c r="C23" s="1164" t="s">
        <v>984</v>
      </c>
      <c r="D23" s="1124" t="s">
        <v>985</v>
      </c>
      <c r="E23" s="1167" t="s">
        <v>982</v>
      </c>
      <c r="F23" s="1125" t="s">
        <v>986</v>
      </c>
      <c r="G23" s="714">
        <f>G25+G24+G26+G27</f>
        <v>814900</v>
      </c>
      <c r="H23" s="714">
        <f>H25+H24+H26+H27</f>
        <v>0</v>
      </c>
      <c r="I23" s="1168">
        <f>J23+M23</f>
        <v>125400</v>
      </c>
      <c r="J23" s="1168">
        <f>K23+L23</f>
        <v>95931</v>
      </c>
      <c r="K23" s="1129">
        <v>95931</v>
      </c>
      <c r="L23" s="1129">
        <v>0</v>
      </c>
      <c r="M23" s="1168">
        <f>N23+Q23+T23</f>
        <v>29469</v>
      </c>
      <c r="N23" s="1168">
        <f>O23+P23</f>
        <v>16929</v>
      </c>
      <c r="O23" s="1129">
        <v>16929</v>
      </c>
      <c r="P23" s="1129">
        <v>0</v>
      </c>
      <c r="Q23" s="1168">
        <f>R23+S23</f>
        <v>12540</v>
      </c>
      <c r="R23" s="1129">
        <v>12540</v>
      </c>
      <c r="S23" s="1129">
        <v>0</v>
      </c>
      <c r="T23" s="1168">
        <f>U23+V23</f>
        <v>0</v>
      </c>
      <c r="U23" s="1129">
        <v>0</v>
      </c>
      <c r="V23" s="1129">
        <v>0</v>
      </c>
    </row>
    <row r="24" spans="1:23" s="715" customFormat="1" ht="13.5" hidden="1" customHeight="1">
      <c r="A24" s="1125"/>
      <c r="B24" s="1125"/>
      <c r="C24" s="1165"/>
      <c r="D24" s="1124"/>
      <c r="E24" s="1167"/>
      <c r="F24" s="1125"/>
      <c r="G24" s="714">
        <v>623398</v>
      </c>
      <c r="H24" s="714">
        <v>0</v>
      </c>
      <c r="I24" s="1168"/>
      <c r="J24" s="1168"/>
      <c r="K24" s="1129"/>
      <c r="L24" s="1129"/>
      <c r="M24" s="1168"/>
      <c r="N24" s="1168"/>
      <c r="O24" s="1129"/>
      <c r="P24" s="1129"/>
      <c r="Q24" s="1168"/>
      <c r="R24" s="1129"/>
      <c r="S24" s="1129"/>
      <c r="T24" s="1168"/>
      <c r="U24" s="1129"/>
      <c r="V24" s="1129"/>
    </row>
    <row r="25" spans="1:23" s="715" customFormat="1" ht="13.5" hidden="1" customHeight="1">
      <c r="A25" s="1125"/>
      <c r="B25" s="1125"/>
      <c r="C25" s="1165"/>
      <c r="D25" s="1124"/>
      <c r="E25" s="1167"/>
      <c r="F25" s="1125"/>
      <c r="G25" s="714">
        <v>110012</v>
      </c>
      <c r="H25" s="714">
        <v>0</v>
      </c>
      <c r="I25" s="716">
        <f>J25+M25</f>
        <v>0</v>
      </c>
      <c r="J25" s="716">
        <f>K25+L25</f>
        <v>0</v>
      </c>
      <c r="K25" s="694">
        <v>0</v>
      </c>
      <c r="L25" s="694">
        <v>0</v>
      </c>
      <c r="M25" s="716">
        <f>N25+Q25+T25</f>
        <v>0</v>
      </c>
      <c r="N25" s="716">
        <f>O25+P25</f>
        <v>0</v>
      </c>
      <c r="O25" s="694">
        <v>0</v>
      </c>
      <c r="P25" s="694">
        <v>0</v>
      </c>
      <c r="Q25" s="716">
        <f>R25+S25</f>
        <v>0</v>
      </c>
      <c r="R25" s="694">
        <v>0</v>
      </c>
      <c r="S25" s="694">
        <v>0</v>
      </c>
      <c r="T25" s="716">
        <f>U25+V25</f>
        <v>0</v>
      </c>
      <c r="U25" s="694">
        <v>0</v>
      </c>
      <c r="V25" s="694">
        <v>0</v>
      </c>
    </row>
    <row r="26" spans="1:23" s="715" customFormat="1" ht="13.5" hidden="1" customHeight="1">
      <c r="A26" s="1125"/>
      <c r="B26" s="1125"/>
      <c r="C26" s="1165"/>
      <c r="D26" s="1124"/>
      <c r="E26" s="1167"/>
      <c r="F26" s="1125"/>
      <c r="G26" s="714">
        <v>81490</v>
      </c>
      <c r="H26" s="714">
        <v>0</v>
      </c>
      <c r="I26" s="1168">
        <f t="shared" ref="I26:V26" si="1">I23+I25</f>
        <v>125400</v>
      </c>
      <c r="J26" s="1168">
        <f t="shared" si="1"/>
        <v>95931</v>
      </c>
      <c r="K26" s="1129">
        <f t="shared" si="1"/>
        <v>95931</v>
      </c>
      <c r="L26" s="1129">
        <f t="shared" si="1"/>
        <v>0</v>
      </c>
      <c r="M26" s="1168">
        <f t="shared" si="1"/>
        <v>29469</v>
      </c>
      <c r="N26" s="1168">
        <f t="shared" si="1"/>
        <v>16929</v>
      </c>
      <c r="O26" s="1129">
        <f t="shared" si="1"/>
        <v>16929</v>
      </c>
      <c r="P26" s="1129">
        <f t="shared" si="1"/>
        <v>0</v>
      </c>
      <c r="Q26" s="1168">
        <f t="shared" si="1"/>
        <v>12540</v>
      </c>
      <c r="R26" s="1129">
        <f t="shared" si="1"/>
        <v>12540</v>
      </c>
      <c r="S26" s="1129">
        <f t="shared" si="1"/>
        <v>0</v>
      </c>
      <c r="T26" s="1168">
        <f t="shared" si="1"/>
        <v>0</v>
      </c>
      <c r="U26" s="1129">
        <f t="shared" si="1"/>
        <v>0</v>
      </c>
      <c r="V26" s="1129">
        <f t="shared" si="1"/>
        <v>0</v>
      </c>
    </row>
    <row r="27" spans="1:23" s="715" customFormat="1" ht="13.5" hidden="1" customHeight="1">
      <c r="A27" s="1125"/>
      <c r="B27" s="1125"/>
      <c r="C27" s="1166"/>
      <c r="D27" s="1124"/>
      <c r="E27" s="1167"/>
      <c r="F27" s="1125"/>
      <c r="G27" s="714">
        <v>0</v>
      </c>
      <c r="H27" s="714">
        <v>0</v>
      </c>
      <c r="I27" s="1168"/>
      <c r="J27" s="1168"/>
      <c r="K27" s="1129"/>
      <c r="L27" s="1129"/>
      <c r="M27" s="1168"/>
      <c r="N27" s="1168"/>
      <c r="O27" s="1129"/>
      <c r="P27" s="1129"/>
      <c r="Q27" s="1168"/>
      <c r="R27" s="1129"/>
      <c r="S27" s="1129"/>
      <c r="T27" s="1168"/>
      <c r="U27" s="1129"/>
      <c r="V27" s="1129"/>
    </row>
    <row r="28" spans="1:23" s="715" customFormat="1" ht="13.5" hidden="1" customHeight="1">
      <c r="A28" s="1125">
        <v>3</v>
      </c>
      <c r="B28" s="1139" t="s">
        <v>987</v>
      </c>
      <c r="C28" s="1169" t="s">
        <v>988</v>
      </c>
      <c r="D28" s="1124" t="s">
        <v>989</v>
      </c>
      <c r="E28" s="1167" t="s">
        <v>880</v>
      </c>
      <c r="F28" s="1125" t="s">
        <v>738</v>
      </c>
      <c r="G28" s="714">
        <f>G29+G30+G31+G32</f>
        <v>713161</v>
      </c>
      <c r="H28" s="714">
        <f>H29+H30+H31+H32</f>
        <v>541658</v>
      </c>
      <c r="I28" s="1168">
        <f>J28+M28</f>
        <v>171503</v>
      </c>
      <c r="J28" s="1168">
        <f>K28+L28</f>
        <v>140285</v>
      </c>
      <c r="K28" s="1129">
        <v>140285</v>
      </c>
      <c r="L28" s="1129">
        <v>0</v>
      </c>
      <c r="M28" s="1168">
        <f>N28+Q28+T28</f>
        <v>31218</v>
      </c>
      <c r="N28" s="1168">
        <f>O28+P28</f>
        <v>17198</v>
      </c>
      <c r="O28" s="1129">
        <v>17198</v>
      </c>
      <c r="P28" s="1129">
        <v>0</v>
      </c>
      <c r="Q28" s="1168">
        <f>R28+S28</f>
        <v>14020</v>
      </c>
      <c r="R28" s="1129">
        <v>14020</v>
      </c>
      <c r="S28" s="1129">
        <v>0</v>
      </c>
      <c r="T28" s="1168">
        <f>U28+V28</f>
        <v>0</v>
      </c>
      <c r="U28" s="1129">
        <v>0</v>
      </c>
      <c r="V28" s="1129">
        <v>0</v>
      </c>
    </row>
    <row r="29" spans="1:23" s="715" customFormat="1" ht="13.5" hidden="1" customHeight="1">
      <c r="A29" s="1125"/>
      <c r="B29" s="1140"/>
      <c r="C29" s="1169"/>
      <c r="D29" s="1124"/>
      <c r="E29" s="1167"/>
      <c r="F29" s="1125"/>
      <c r="G29" s="714">
        <v>587227</v>
      </c>
      <c r="H29" s="714">
        <v>446942</v>
      </c>
      <c r="I29" s="1168"/>
      <c r="J29" s="1168"/>
      <c r="K29" s="1129"/>
      <c r="L29" s="1129"/>
      <c r="M29" s="1168"/>
      <c r="N29" s="1168"/>
      <c r="O29" s="1129"/>
      <c r="P29" s="1129"/>
      <c r="Q29" s="1168"/>
      <c r="R29" s="1129"/>
      <c r="S29" s="1129"/>
      <c r="T29" s="1168"/>
      <c r="U29" s="1129"/>
      <c r="V29" s="1129"/>
    </row>
    <row r="30" spans="1:23" s="715" customFormat="1" ht="13.5" hidden="1" customHeight="1">
      <c r="A30" s="1125"/>
      <c r="B30" s="1140"/>
      <c r="C30" s="1169"/>
      <c r="D30" s="1124"/>
      <c r="E30" s="1167"/>
      <c r="F30" s="1125"/>
      <c r="G30" s="714">
        <v>71987</v>
      </c>
      <c r="H30" s="714">
        <v>54789</v>
      </c>
      <c r="I30" s="716">
        <f>J30+M30</f>
        <v>0</v>
      </c>
      <c r="J30" s="716">
        <f>K30+L30</f>
        <v>0</v>
      </c>
      <c r="K30" s="694">
        <v>0</v>
      </c>
      <c r="L30" s="694">
        <v>0</v>
      </c>
      <c r="M30" s="716">
        <f>N30+Q30+T30</f>
        <v>0</v>
      </c>
      <c r="N30" s="716">
        <f>O30+P30</f>
        <v>0</v>
      </c>
      <c r="O30" s="694">
        <v>0</v>
      </c>
      <c r="P30" s="694">
        <v>0</v>
      </c>
      <c r="Q30" s="716">
        <f>R30+S30</f>
        <v>0</v>
      </c>
      <c r="R30" s="694">
        <v>0</v>
      </c>
      <c r="S30" s="694">
        <v>0</v>
      </c>
      <c r="T30" s="716">
        <f>U30+V30</f>
        <v>0</v>
      </c>
      <c r="U30" s="694">
        <v>0</v>
      </c>
      <c r="V30" s="694">
        <v>0</v>
      </c>
    </row>
    <row r="31" spans="1:23" s="715" customFormat="1" ht="13.5" hidden="1" customHeight="1">
      <c r="A31" s="1125"/>
      <c r="B31" s="1140"/>
      <c r="C31" s="1169"/>
      <c r="D31" s="1124"/>
      <c r="E31" s="1167"/>
      <c r="F31" s="1125"/>
      <c r="G31" s="714">
        <v>53947</v>
      </c>
      <c r="H31" s="714">
        <v>39927</v>
      </c>
      <c r="I31" s="1168">
        <f t="shared" ref="I31:V31" si="2">I28+I30</f>
        <v>171503</v>
      </c>
      <c r="J31" s="1168">
        <f t="shared" si="2"/>
        <v>140285</v>
      </c>
      <c r="K31" s="1129">
        <f t="shared" si="2"/>
        <v>140285</v>
      </c>
      <c r="L31" s="1129">
        <f t="shared" si="2"/>
        <v>0</v>
      </c>
      <c r="M31" s="1168">
        <f t="shared" si="2"/>
        <v>31218</v>
      </c>
      <c r="N31" s="1168">
        <f t="shared" si="2"/>
        <v>17198</v>
      </c>
      <c r="O31" s="1129">
        <f t="shared" si="2"/>
        <v>17198</v>
      </c>
      <c r="P31" s="1129">
        <f t="shared" si="2"/>
        <v>0</v>
      </c>
      <c r="Q31" s="1168">
        <f t="shared" si="2"/>
        <v>14020</v>
      </c>
      <c r="R31" s="1129">
        <f t="shared" si="2"/>
        <v>14020</v>
      </c>
      <c r="S31" s="1129">
        <f t="shared" si="2"/>
        <v>0</v>
      </c>
      <c r="T31" s="1168">
        <f t="shared" si="2"/>
        <v>0</v>
      </c>
      <c r="U31" s="1129">
        <f t="shared" si="2"/>
        <v>0</v>
      </c>
      <c r="V31" s="1129">
        <f t="shared" si="2"/>
        <v>0</v>
      </c>
    </row>
    <row r="32" spans="1:23" s="715" customFormat="1" ht="13.5" hidden="1" customHeight="1">
      <c r="A32" s="1125"/>
      <c r="B32" s="1141"/>
      <c r="C32" s="1169"/>
      <c r="D32" s="1124"/>
      <c r="E32" s="1167"/>
      <c r="F32" s="1125"/>
      <c r="G32" s="714">
        <v>0</v>
      </c>
      <c r="H32" s="714">
        <v>0</v>
      </c>
      <c r="I32" s="1168"/>
      <c r="J32" s="1168"/>
      <c r="K32" s="1129"/>
      <c r="L32" s="1129"/>
      <c r="M32" s="1168"/>
      <c r="N32" s="1168"/>
      <c r="O32" s="1129"/>
      <c r="P32" s="1129"/>
      <c r="Q32" s="1168"/>
      <c r="R32" s="1129"/>
      <c r="S32" s="1129"/>
      <c r="T32" s="1168"/>
      <c r="U32" s="1129"/>
      <c r="V32" s="1129"/>
    </row>
    <row r="33" spans="1:22" s="715" customFormat="1" ht="13.5" hidden="1" customHeight="1">
      <c r="A33" s="1125">
        <v>3</v>
      </c>
      <c r="B33" s="1139" t="s">
        <v>990</v>
      </c>
      <c r="C33" s="1164" t="s">
        <v>991</v>
      </c>
      <c r="D33" s="1124" t="s">
        <v>992</v>
      </c>
      <c r="E33" s="1167" t="s">
        <v>850</v>
      </c>
      <c r="F33" s="1125" t="s">
        <v>768</v>
      </c>
      <c r="G33" s="714">
        <f>G34+G35+G36+G37</f>
        <v>9806092</v>
      </c>
      <c r="H33" s="714">
        <f>H34+H35+H36+H37</f>
        <v>2111092</v>
      </c>
      <c r="I33" s="1168">
        <f>J33+M33</f>
        <v>3228000</v>
      </c>
      <c r="J33" s="1168">
        <f>K33+L33</f>
        <v>0</v>
      </c>
      <c r="K33" s="1129">
        <v>0</v>
      </c>
      <c r="L33" s="1129">
        <v>0</v>
      </c>
      <c r="M33" s="1168">
        <f>N33+Q33+T33</f>
        <v>3228000</v>
      </c>
      <c r="N33" s="1168">
        <f>O33+P33</f>
        <v>3228000</v>
      </c>
      <c r="O33" s="1129">
        <v>3228000</v>
      </c>
      <c r="P33" s="1129">
        <v>0</v>
      </c>
      <c r="Q33" s="1168">
        <f>R33+S33</f>
        <v>0</v>
      </c>
      <c r="R33" s="1129">
        <v>0</v>
      </c>
      <c r="S33" s="1129">
        <v>0</v>
      </c>
      <c r="T33" s="1168">
        <f>U33+V33</f>
        <v>0</v>
      </c>
      <c r="U33" s="1129">
        <v>0</v>
      </c>
      <c r="V33" s="1129">
        <v>0</v>
      </c>
    </row>
    <row r="34" spans="1:22" s="715" customFormat="1" ht="13.5" hidden="1" customHeight="1">
      <c r="A34" s="1125"/>
      <c r="B34" s="1140"/>
      <c r="C34" s="1165"/>
      <c r="D34" s="1124"/>
      <c r="E34" s="1167"/>
      <c r="F34" s="1125"/>
      <c r="G34" s="714">
        <v>0</v>
      </c>
      <c r="H34" s="714">
        <v>0</v>
      </c>
      <c r="I34" s="1168"/>
      <c r="J34" s="1168"/>
      <c r="K34" s="1129"/>
      <c r="L34" s="1129"/>
      <c r="M34" s="1168"/>
      <c r="N34" s="1168"/>
      <c r="O34" s="1129"/>
      <c r="P34" s="1129"/>
      <c r="Q34" s="1168"/>
      <c r="R34" s="1129"/>
      <c r="S34" s="1129"/>
      <c r="T34" s="1168"/>
      <c r="U34" s="1129"/>
      <c r="V34" s="1129"/>
    </row>
    <row r="35" spans="1:22" s="715" customFormat="1" ht="13.5" hidden="1" customHeight="1">
      <c r="A35" s="1125"/>
      <c r="B35" s="1140"/>
      <c r="C35" s="1165"/>
      <c r="D35" s="1124"/>
      <c r="E35" s="1167"/>
      <c r="F35" s="1125"/>
      <c r="G35" s="714">
        <v>9806092</v>
      </c>
      <c r="H35" s="714">
        <v>2111092</v>
      </c>
      <c r="I35" s="716">
        <f>J35+M35</f>
        <v>0</v>
      </c>
      <c r="J35" s="716">
        <f>K35+L35</f>
        <v>0</v>
      </c>
      <c r="K35" s="694">
        <v>0</v>
      </c>
      <c r="L35" s="694">
        <v>0</v>
      </c>
      <c r="M35" s="716">
        <f>N35+Q35+T35</f>
        <v>0</v>
      </c>
      <c r="N35" s="716">
        <f>O35+P35</f>
        <v>0</v>
      </c>
      <c r="O35" s="694">
        <v>0</v>
      </c>
      <c r="P35" s="694">
        <v>0</v>
      </c>
      <c r="Q35" s="716">
        <f>R35+S35</f>
        <v>0</v>
      </c>
      <c r="R35" s="694">
        <v>0</v>
      </c>
      <c r="S35" s="694">
        <v>0</v>
      </c>
      <c r="T35" s="716">
        <f>U35+V35</f>
        <v>0</v>
      </c>
      <c r="U35" s="694">
        <v>0</v>
      </c>
      <c r="V35" s="694">
        <v>0</v>
      </c>
    </row>
    <row r="36" spans="1:22" s="715" customFormat="1" ht="13.5" hidden="1" customHeight="1">
      <c r="A36" s="1125"/>
      <c r="B36" s="1140"/>
      <c r="C36" s="1165"/>
      <c r="D36" s="1124"/>
      <c r="E36" s="1167"/>
      <c r="F36" s="1125"/>
      <c r="G36" s="714">
        <v>0</v>
      </c>
      <c r="H36" s="714">
        <v>0</v>
      </c>
      <c r="I36" s="1168">
        <f t="shared" ref="I36:V36" si="3">I33+I35</f>
        <v>3228000</v>
      </c>
      <c r="J36" s="1168">
        <f t="shared" si="3"/>
        <v>0</v>
      </c>
      <c r="K36" s="1129">
        <f t="shared" si="3"/>
        <v>0</v>
      </c>
      <c r="L36" s="1129">
        <f t="shared" si="3"/>
        <v>0</v>
      </c>
      <c r="M36" s="1168">
        <f t="shared" si="3"/>
        <v>3228000</v>
      </c>
      <c r="N36" s="1168">
        <f t="shared" si="3"/>
        <v>3228000</v>
      </c>
      <c r="O36" s="1129">
        <f t="shared" si="3"/>
        <v>3228000</v>
      </c>
      <c r="P36" s="1129">
        <f t="shared" si="3"/>
        <v>0</v>
      </c>
      <c r="Q36" s="1168">
        <f t="shared" si="3"/>
        <v>0</v>
      </c>
      <c r="R36" s="1129">
        <f t="shared" si="3"/>
        <v>0</v>
      </c>
      <c r="S36" s="1129">
        <f t="shared" si="3"/>
        <v>0</v>
      </c>
      <c r="T36" s="1168">
        <f t="shared" si="3"/>
        <v>0</v>
      </c>
      <c r="U36" s="1129">
        <f t="shared" si="3"/>
        <v>0</v>
      </c>
      <c r="V36" s="1129">
        <f t="shared" si="3"/>
        <v>0</v>
      </c>
    </row>
    <row r="37" spans="1:22" s="715" customFormat="1" ht="13.5" hidden="1" customHeight="1">
      <c r="A37" s="1125"/>
      <c r="B37" s="1141"/>
      <c r="C37" s="1166"/>
      <c r="D37" s="1124"/>
      <c r="E37" s="1167"/>
      <c r="F37" s="1125"/>
      <c r="G37" s="714">
        <v>0</v>
      </c>
      <c r="H37" s="714">
        <v>0</v>
      </c>
      <c r="I37" s="1168"/>
      <c r="J37" s="1168"/>
      <c r="K37" s="1129"/>
      <c r="L37" s="1129"/>
      <c r="M37" s="1168"/>
      <c r="N37" s="1168"/>
      <c r="O37" s="1129"/>
      <c r="P37" s="1129"/>
      <c r="Q37" s="1168"/>
      <c r="R37" s="1129"/>
      <c r="S37" s="1129"/>
      <c r="T37" s="1168"/>
      <c r="U37" s="1129"/>
      <c r="V37" s="1129"/>
    </row>
    <row r="38" spans="1:22" s="715" customFormat="1" ht="13.5" hidden="1" customHeight="1">
      <c r="A38" s="1125">
        <v>5</v>
      </c>
      <c r="B38" s="1139" t="s">
        <v>993</v>
      </c>
      <c r="C38" s="1164" t="s">
        <v>994</v>
      </c>
      <c r="D38" s="1124" t="s">
        <v>995</v>
      </c>
      <c r="E38" s="1167" t="s">
        <v>857</v>
      </c>
      <c r="F38" s="1125" t="s">
        <v>740</v>
      </c>
      <c r="G38" s="714">
        <f>G40+G39+G41+G42</f>
        <v>29251022</v>
      </c>
      <c r="H38" s="714">
        <f>H40+H39+H41+H42</f>
        <v>5302952</v>
      </c>
      <c r="I38" s="1168">
        <f>J38+M38</f>
        <v>22777573</v>
      </c>
      <c r="J38" s="1168">
        <f>K38+L38</f>
        <v>19196938</v>
      </c>
      <c r="K38" s="1129">
        <v>19196938</v>
      </c>
      <c r="L38" s="1129">
        <v>0</v>
      </c>
      <c r="M38" s="1168">
        <f>N38+Q38+T38</f>
        <v>3580635</v>
      </c>
      <c r="N38" s="1168">
        <f>O38+P38</f>
        <v>3580635</v>
      </c>
      <c r="O38" s="1129">
        <v>3580635</v>
      </c>
      <c r="P38" s="1129">
        <v>0</v>
      </c>
      <c r="Q38" s="1168">
        <f>R38+S38</f>
        <v>0</v>
      </c>
      <c r="R38" s="1129">
        <v>0</v>
      </c>
      <c r="S38" s="1129">
        <v>0</v>
      </c>
      <c r="T38" s="1168">
        <f>U38+V38</f>
        <v>0</v>
      </c>
      <c r="U38" s="1129">
        <v>0</v>
      </c>
      <c r="V38" s="1129">
        <v>0</v>
      </c>
    </row>
    <row r="39" spans="1:22" s="715" customFormat="1" ht="13.5" hidden="1" customHeight="1">
      <c r="A39" s="1125"/>
      <c r="B39" s="1140"/>
      <c r="C39" s="1165"/>
      <c r="D39" s="1124"/>
      <c r="E39" s="1167"/>
      <c r="F39" s="1125"/>
      <c r="G39" s="714">
        <v>24652761</v>
      </c>
      <c r="H39" s="714">
        <v>4469327</v>
      </c>
      <c r="I39" s="1168"/>
      <c r="J39" s="1168"/>
      <c r="K39" s="1129"/>
      <c r="L39" s="1129"/>
      <c r="M39" s="1168"/>
      <c r="N39" s="1168"/>
      <c r="O39" s="1129"/>
      <c r="P39" s="1129"/>
      <c r="Q39" s="1168"/>
      <c r="R39" s="1129"/>
      <c r="S39" s="1129"/>
      <c r="T39" s="1168"/>
      <c r="U39" s="1129"/>
      <c r="V39" s="1129"/>
    </row>
    <row r="40" spans="1:22" s="715" customFormat="1" ht="13.5" hidden="1" customHeight="1">
      <c r="A40" s="1125"/>
      <c r="B40" s="1140"/>
      <c r="C40" s="1165"/>
      <c r="D40" s="1124"/>
      <c r="E40" s="1167"/>
      <c r="F40" s="1125"/>
      <c r="G40" s="714">
        <v>4598261</v>
      </c>
      <c r="H40" s="714">
        <v>833625</v>
      </c>
      <c r="I40" s="716">
        <f>J40+M40</f>
        <v>0</v>
      </c>
      <c r="J40" s="716">
        <f>K40+L40</f>
        <v>0</v>
      </c>
      <c r="K40" s="694">
        <v>0</v>
      </c>
      <c r="L40" s="694">
        <v>0</v>
      </c>
      <c r="M40" s="716">
        <f>N40+Q40+T40</f>
        <v>0</v>
      </c>
      <c r="N40" s="716">
        <f>O40+P40</f>
        <v>0</v>
      </c>
      <c r="O40" s="694">
        <v>0</v>
      </c>
      <c r="P40" s="694">
        <v>0</v>
      </c>
      <c r="Q40" s="716">
        <f>R40+S40</f>
        <v>0</v>
      </c>
      <c r="R40" s="694">
        <v>0</v>
      </c>
      <c r="S40" s="694">
        <v>0</v>
      </c>
      <c r="T40" s="716">
        <f>U40+V40</f>
        <v>0</v>
      </c>
      <c r="U40" s="694">
        <v>0</v>
      </c>
      <c r="V40" s="694">
        <v>0</v>
      </c>
    </row>
    <row r="41" spans="1:22" s="715" customFormat="1" ht="13.5" hidden="1" customHeight="1">
      <c r="A41" s="1125"/>
      <c r="B41" s="1140"/>
      <c r="C41" s="1165"/>
      <c r="D41" s="1124"/>
      <c r="E41" s="1167"/>
      <c r="F41" s="1125"/>
      <c r="G41" s="714">
        <v>0</v>
      </c>
      <c r="H41" s="714">
        <v>0</v>
      </c>
      <c r="I41" s="1168">
        <f t="shared" ref="I41:V41" si="4">I38+I40</f>
        <v>22777573</v>
      </c>
      <c r="J41" s="1168">
        <f t="shared" si="4"/>
        <v>19196938</v>
      </c>
      <c r="K41" s="1129">
        <f t="shared" si="4"/>
        <v>19196938</v>
      </c>
      <c r="L41" s="1129">
        <f t="shared" si="4"/>
        <v>0</v>
      </c>
      <c r="M41" s="1168">
        <f t="shared" si="4"/>
        <v>3580635</v>
      </c>
      <c r="N41" s="1168">
        <f t="shared" si="4"/>
        <v>3580635</v>
      </c>
      <c r="O41" s="1129">
        <f t="shared" si="4"/>
        <v>3580635</v>
      </c>
      <c r="P41" s="1129">
        <f t="shared" si="4"/>
        <v>0</v>
      </c>
      <c r="Q41" s="1168">
        <f t="shared" si="4"/>
        <v>0</v>
      </c>
      <c r="R41" s="1129">
        <f t="shared" si="4"/>
        <v>0</v>
      </c>
      <c r="S41" s="1129">
        <f t="shared" si="4"/>
        <v>0</v>
      </c>
      <c r="T41" s="1168">
        <f t="shared" si="4"/>
        <v>0</v>
      </c>
      <c r="U41" s="1129">
        <f t="shared" si="4"/>
        <v>0</v>
      </c>
      <c r="V41" s="1129">
        <f t="shared" si="4"/>
        <v>0</v>
      </c>
    </row>
    <row r="42" spans="1:22" s="715" customFormat="1" ht="13.5" hidden="1" customHeight="1">
      <c r="A42" s="1125"/>
      <c r="B42" s="1141"/>
      <c r="C42" s="1166"/>
      <c r="D42" s="1124"/>
      <c r="E42" s="1167"/>
      <c r="F42" s="1125"/>
      <c r="G42" s="714">
        <v>0</v>
      </c>
      <c r="H42" s="714">
        <v>0</v>
      </c>
      <c r="I42" s="1168"/>
      <c r="J42" s="1168"/>
      <c r="K42" s="1129"/>
      <c r="L42" s="1129"/>
      <c r="M42" s="1168"/>
      <c r="N42" s="1168"/>
      <c r="O42" s="1129"/>
      <c r="P42" s="1129"/>
      <c r="Q42" s="1168"/>
      <c r="R42" s="1129"/>
      <c r="S42" s="1129"/>
      <c r="T42" s="1168"/>
      <c r="U42" s="1129"/>
      <c r="V42" s="1129"/>
    </row>
    <row r="43" spans="1:22" s="715" customFormat="1" ht="13.5" hidden="1" customHeight="1">
      <c r="A43" s="1125">
        <v>6</v>
      </c>
      <c r="B43" s="1139" t="s">
        <v>996</v>
      </c>
      <c r="C43" s="1164" t="s">
        <v>997</v>
      </c>
      <c r="D43" s="1124" t="s">
        <v>998</v>
      </c>
      <c r="E43" s="1167" t="s">
        <v>880</v>
      </c>
      <c r="F43" s="1125" t="s">
        <v>791</v>
      </c>
      <c r="G43" s="714">
        <f>G44+G45+G46+G47</f>
        <v>51143</v>
      </c>
      <c r="H43" s="714">
        <f>H44+H45+H46+H47</f>
        <v>22687</v>
      </c>
      <c r="I43" s="1168">
        <f>J43+M43</f>
        <v>28456</v>
      </c>
      <c r="J43" s="1168">
        <f>K43+L43</f>
        <v>23983</v>
      </c>
      <c r="K43" s="1129">
        <v>23983</v>
      </c>
      <c r="L43" s="1129">
        <v>0</v>
      </c>
      <c r="M43" s="1168">
        <f>N43+Q43+T43</f>
        <v>4473</v>
      </c>
      <c r="N43" s="1168">
        <f>O43+P43</f>
        <v>4473</v>
      </c>
      <c r="O43" s="1129">
        <v>4473</v>
      </c>
      <c r="P43" s="1129">
        <v>0</v>
      </c>
      <c r="Q43" s="1168">
        <f>R43+S43</f>
        <v>0</v>
      </c>
      <c r="R43" s="1129">
        <v>0</v>
      </c>
      <c r="S43" s="1129">
        <v>0</v>
      </c>
      <c r="T43" s="1168">
        <f>U43+V43</f>
        <v>0</v>
      </c>
      <c r="U43" s="1129">
        <v>0</v>
      </c>
      <c r="V43" s="1129">
        <v>0</v>
      </c>
    </row>
    <row r="44" spans="1:22" s="715" customFormat="1" ht="13.5" hidden="1" customHeight="1">
      <c r="A44" s="1125"/>
      <c r="B44" s="1140"/>
      <c r="C44" s="1165"/>
      <c r="D44" s="1124"/>
      <c r="E44" s="1167"/>
      <c r="F44" s="1125"/>
      <c r="G44" s="714">
        <v>43103</v>
      </c>
      <c r="H44" s="714">
        <v>19120</v>
      </c>
      <c r="I44" s="1168"/>
      <c r="J44" s="1168"/>
      <c r="K44" s="1129"/>
      <c r="L44" s="1129"/>
      <c r="M44" s="1168"/>
      <c r="N44" s="1168"/>
      <c r="O44" s="1129"/>
      <c r="P44" s="1129"/>
      <c r="Q44" s="1168"/>
      <c r="R44" s="1129"/>
      <c r="S44" s="1129"/>
      <c r="T44" s="1168"/>
      <c r="U44" s="1129"/>
      <c r="V44" s="1129"/>
    </row>
    <row r="45" spans="1:22" s="715" customFormat="1" ht="13.5" hidden="1" customHeight="1">
      <c r="A45" s="1125"/>
      <c r="B45" s="1140"/>
      <c r="C45" s="1165"/>
      <c r="D45" s="1124"/>
      <c r="E45" s="1167"/>
      <c r="F45" s="1125"/>
      <c r="G45" s="714">
        <v>8040</v>
      </c>
      <c r="H45" s="714">
        <v>3567</v>
      </c>
      <c r="I45" s="716">
        <f>J45+M45</f>
        <v>0</v>
      </c>
      <c r="J45" s="716">
        <f>K45+L45</f>
        <v>0</v>
      </c>
      <c r="K45" s="694">
        <v>0</v>
      </c>
      <c r="L45" s="694">
        <v>0</v>
      </c>
      <c r="M45" s="716">
        <f>N45+Q45+T45</f>
        <v>0</v>
      </c>
      <c r="N45" s="716">
        <f>O45+P45</f>
        <v>0</v>
      </c>
      <c r="O45" s="694">
        <v>0</v>
      </c>
      <c r="P45" s="694">
        <v>0</v>
      </c>
      <c r="Q45" s="716">
        <f>R45+S45</f>
        <v>0</v>
      </c>
      <c r="R45" s="694">
        <v>0</v>
      </c>
      <c r="S45" s="694">
        <v>0</v>
      </c>
      <c r="T45" s="716">
        <f>U45+V45</f>
        <v>0</v>
      </c>
      <c r="U45" s="694">
        <v>0</v>
      </c>
      <c r="V45" s="694">
        <v>0</v>
      </c>
    </row>
    <row r="46" spans="1:22" s="715" customFormat="1" ht="13.5" hidden="1" customHeight="1">
      <c r="A46" s="1125"/>
      <c r="B46" s="1140"/>
      <c r="C46" s="1165"/>
      <c r="D46" s="1124"/>
      <c r="E46" s="1167"/>
      <c r="F46" s="1125"/>
      <c r="G46" s="714">
        <v>0</v>
      </c>
      <c r="H46" s="714">
        <v>0</v>
      </c>
      <c r="I46" s="1168">
        <f t="shared" ref="I46:V46" si="5">I43+I45</f>
        <v>28456</v>
      </c>
      <c r="J46" s="1168">
        <f t="shared" si="5"/>
        <v>23983</v>
      </c>
      <c r="K46" s="1129">
        <f t="shared" si="5"/>
        <v>23983</v>
      </c>
      <c r="L46" s="1129">
        <f t="shared" si="5"/>
        <v>0</v>
      </c>
      <c r="M46" s="1168">
        <f t="shared" si="5"/>
        <v>4473</v>
      </c>
      <c r="N46" s="1168">
        <f t="shared" si="5"/>
        <v>4473</v>
      </c>
      <c r="O46" s="1129">
        <f t="shared" si="5"/>
        <v>4473</v>
      </c>
      <c r="P46" s="1129">
        <f t="shared" si="5"/>
        <v>0</v>
      </c>
      <c r="Q46" s="1168">
        <f t="shared" si="5"/>
        <v>0</v>
      </c>
      <c r="R46" s="1129">
        <f t="shared" si="5"/>
        <v>0</v>
      </c>
      <c r="S46" s="1129">
        <f t="shared" si="5"/>
        <v>0</v>
      </c>
      <c r="T46" s="1168">
        <f t="shared" si="5"/>
        <v>0</v>
      </c>
      <c r="U46" s="1129">
        <f t="shared" si="5"/>
        <v>0</v>
      </c>
      <c r="V46" s="1129">
        <f t="shared" si="5"/>
        <v>0</v>
      </c>
    </row>
    <row r="47" spans="1:22" s="715" customFormat="1" ht="13.5" hidden="1" customHeight="1">
      <c r="A47" s="1125"/>
      <c r="B47" s="1141"/>
      <c r="C47" s="1166"/>
      <c r="D47" s="1124"/>
      <c r="E47" s="1167"/>
      <c r="F47" s="1125"/>
      <c r="G47" s="714">
        <v>0</v>
      </c>
      <c r="H47" s="714">
        <v>0</v>
      </c>
      <c r="I47" s="1168"/>
      <c r="J47" s="1168"/>
      <c r="K47" s="1129"/>
      <c r="L47" s="1129"/>
      <c r="M47" s="1168"/>
      <c r="N47" s="1168"/>
      <c r="O47" s="1129"/>
      <c r="P47" s="1129"/>
      <c r="Q47" s="1168"/>
      <c r="R47" s="1129"/>
      <c r="S47" s="1129"/>
      <c r="T47" s="1168"/>
      <c r="U47" s="1129"/>
      <c r="V47" s="1129"/>
    </row>
    <row r="48" spans="1:22" s="715" customFormat="1" ht="13.5" hidden="1" customHeight="1">
      <c r="A48" s="1125">
        <v>7</v>
      </c>
      <c r="B48" s="1139" t="s">
        <v>999</v>
      </c>
      <c r="C48" s="1164" t="s">
        <v>1000</v>
      </c>
      <c r="D48" s="1124" t="s">
        <v>995</v>
      </c>
      <c r="E48" s="1167" t="s">
        <v>866</v>
      </c>
      <c r="F48" s="1125">
        <v>2020</v>
      </c>
      <c r="G48" s="714">
        <f>G49+G50+G51+G52</f>
        <v>18874621</v>
      </c>
      <c r="H48" s="714">
        <f>H49+H50+H51+H52</f>
        <v>0</v>
      </c>
      <c r="I48" s="1168">
        <f>J48+M48</f>
        <v>18874621</v>
      </c>
      <c r="J48" s="1168">
        <f>K48+L48</f>
        <v>15907530</v>
      </c>
      <c r="K48" s="1129">
        <v>15907530</v>
      </c>
      <c r="L48" s="1129">
        <v>0</v>
      </c>
      <c r="M48" s="1168">
        <f>N48+Q48+T48</f>
        <v>2967091</v>
      </c>
      <c r="N48" s="1168">
        <f>O48+P48</f>
        <v>2967091</v>
      </c>
      <c r="O48" s="1129">
        <v>2967091</v>
      </c>
      <c r="P48" s="1129">
        <v>0</v>
      </c>
      <c r="Q48" s="1168">
        <f>R48+S48</f>
        <v>0</v>
      </c>
      <c r="R48" s="1129">
        <v>0</v>
      </c>
      <c r="S48" s="1129">
        <v>0</v>
      </c>
      <c r="T48" s="1168">
        <f>U48+V48</f>
        <v>0</v>
      </c>
      <c r="U48" s="1129">
        <v>0</v>
      </c>
      <c r="V48" s="1129">
        <v>0</v>
      </c>
    </row>
    <row r="49" spans="1:22" s="715" customFormat="1" ht="13.5" hidden="1" customHeight="1">
      <c r="A49" s="1125"/>
      <c r="B49" s="1140"/>
      <c r="C49" s="1165"/>
      <c r="D49" s="1124"/>
      <c r="E49" s="1167"/>
      <c r="F49" s="1125"/>
      <c r="G49" s="714">
        <v>15907530</v>
      </c>
      <c r="H49" s="714">
        <v>0</v>
      </c>
      <c r="I49" s="1168"/>
      <c r="J49" s="1168"/>
      <c r="K49" s="1129"/>
      <c r="L49" s="1129"/>
      <c r="M49" s="1168"/>
      <c r="N49" s="1168"/>
      <c r="O49" s="1129"/>
      <c r="P49" s="1129"/>
      <c r="Q49" s="1168"/>
      <c r="R49" s="1129"/>
      <c r="S49" s="1129"/>
      <c r="T49" s="1168"/>
      <c r="U49" s="1129"/>
      <c r="V49" s="1129"/>
    </row>
    <row r="50" spans="1:22" s="715" customFormat="1" ht="13.5" hidden="1" customHeight="1">
      <c r="A50" s="1125"/>
      <c r="B50" s="1140"/>
      <c r="C50" s="1165"/>
      <c r="D50" s="1124"/>
      <c r="E50" s="1167"/>
      <c r="F50" s="1125"/>
      <c r="G50" s="714">
        <v>2967091</v>
      </c>
      <c r="H50" s="714">
        <v>0</v>
      </c>
      <c r="I50" s="716">
        <f>J50+M50</f>
        <v>0</v>
      </c>
      <c r="J50" s="716">
        <f>K50+L50</f>
        <v>0</v>
      </c>
      <c r="K50" s="694">
        <v>0</v>
      </c>
      <c r="L50" s="694">
        <v>0</v>
      </c>
      <c r="M50" s="716">
        <f>N50+Q50+T50</f>
        <v>0</v>
      </c>
      <c r="N50" s="716">
        <f>O50+P50</f>
        <v>0</v>
      </c>
      <c r="O50" s="694">
        <v>0</v>
      </c>
      <c r="P50" s="694">
        <v>0</v>
      </c>
      <c r="Q50" s="716">
        <f>R50+S50</f>
        <v>0</v>
      </c>
      <c r="R50" s="694">
        <v>0</v>
      </c>
      <c r="S50" s="694">
        <v>0</v>
      </c>
      <c r="T50" s="716">
        <f>U50+V50</f>
        <v>0</v>
      </c>
      <c r="U50" s="694">
        <v>0</v>
      </c>
      <c r="V50" s="694">
        <v>0</v>
      </c>
    </row>
    <row r="51" spans="1:22" s="715" customFormat="1" ht="13.5" hidden="1" customHeight="1">
      <c r="A51" s="1125"/>
      <c r="B51" s="1140"/>
      <c r="C51" s="1165"/>
      <c r="D51" s="1124"/>
      <c r="E51" s="1167"/>
      <c r="F51" s="1125"/>
      <c r="G51" s="714">
        <v>0</v>
      </c>
      <c r="H51" s="714">
        <v>0</v>
      </c>
      <c r="I51" s="1168">
        <f t="shared" ref="I51:V51" si="6">I48+I50</f>
        <v>18874621</v>
      </c>
      <c r="J51" s="1168">
        <f t="shared" si="6"/>
        <v>15907530</v>
      </c>
      <c r="K51" s="1129">
        <f t="shared" si="6"/>
        <v>15907530</v>
      </c>
      <c r="L51" s="1129">
        <f t="shared" si="6"/>
        <v>0</v>
      </c>
      <c r="M51" s="1168">
        <f t="shared" si="6"/>
        <v>2967091</v>
      </c>
      <c r="N51" s="1168">
        <f t="shared" si="6"/>
        <v>2967091</v>
      </c>
      <c r="O51" s="1129">
        <f t="shared" si="6"/>
        <v>2967091</v>
      </c>
      <c r="P51" s="1129">
        <f t="shared" si="6"/>
        <v>0</v>
      </c>
      <c r="Q51" s="1168">
        <f t="shared" si="6"/>
        <v>0</v>
      </c>
      <c r="R51" s="1129">
        <f t="shared" si="6"/>
        <v>0</v>
      </c>
      <c r="S51" s="1129">
        <f t="shared" si="6"/>
        <v>0</v>
      </c>
      <c r="T51" s="1168">
        <f t="shared" si="6"/>
        <v>0</v>
      </c>
      <c r="U51" s="1129">
        <f t="shared" si="6"/>
        <v>0</v>
      </c>
      <c r="V51" s="1129">
        <f t="shared" si="6"/>
        <v>0</v>
      </c>
    </row>
    <row r="52" spans="1:22" s="715" customFormat="1" ht="13.5" hidden="1" customHeight="1">
      <c r="A52" s="1125"/>
      <c r="B52" s="1141"/>
      <c r="C52" s="1166"/>
      <c r="D52" s="1124"/>
      <c r="E52" s="1167"/>
      <c r="F52" s="1125"/>
      <c r="G52" s="714">
        <v>0</v>
      </c>
      <c r="H52" s="714">
        <v>0</v>
      </c>
      <c r="I52" s="1168"/>
      <c r="J52" s="1168"/>
      <c r="K52" s="1129"/>
      <c r="L52" s="1129"/>
      <c r="M52" s="1168"/>
      <c r="N52" s="1168"/>
      <c r="O52" s="1129"/>
      <c r="P52" s="1129"/>
      <c r="Q52" s="1168"/>
      <c r="R52" s="1129"/>
      <c r="S52" s="1129"/>
      <c r="T52" s="1168"/>
      <c r="U52" s="1129"/>
      <c r="V52" s="1129"/>
    </row>
    <row r="53" spans="1:22" s="715" customFormat="1" ht="13.5" hidden="1" customHeight="1">
      <c r="A53" s="1125">
        <v>8</v>
      </c>
      <c r="B53" s="1139" t="s">
        <v>1001</v>
      </c>
      <c r="C53" s="1164" t="s">
        <v>1002</v>
      </c>
      <c r="D53" s="1124" t="s">
        <v>1003</v>
      </c>
      <c r="E53" s="1167" t="s">
        <v>880</v>
      </c>
      <c r="F53" s="1125" t="s">
        <v>787</v>
      </c>
      <c r="G53" s="714">
        <f>G54+G55+G56+G57</f>
        <v>203748</v>
      </c>
      <c r="H53" s="714">
        <f>H54+H55+H56+H57</f>
        <v>0</v>
      </c>
      <c r="I53" s="1168">
        <f>J53+M53</f>
        <v>92798</v>
      </c>
      <c r="J53" s="1168">
        <f>K53+L53</f>
        <v>78210</v>
      </c>
      <c r="K53" s="1129">
        <v>78210</v>
      </c>
      <c r="L53" s="1129">
        <v>0</v>
      </c>
      <c r="M53" s="1168">
        <f>N53+Q53+T53</f>
        <v>14588</v>
      </c>
      <c r="N53" s="1168">
        <f>O53+P53</f>
        <v>14588</v>
      </c>
      <c r="O53" s="1129">
        <v>14588</v>
      </c>
      <c r="P53" s="1129">
        <v>0</v>
      </c>
      <c r="Q53" s="1168">
        <f>R53+S53</f>
        <v>0</v>
      </c>
      <c r="R53" s="1129">
        <v>0</v>
      </c>
      <c r="S53" s="1129">
        <v>0</v>
      </c>
      <c r="T53" s="1168">
        <f>U53+V53</f>
        <v>0</v>
      </c>
      <c r="U53" s="1129">
        <v>0</v>
      </c>
      <c r="V53" s="1129">
        <v>0</v>
      </c>
    </row>
    <row r="54" spans="1:22" s="715" customFormat="1" ht="13.5" hidden="1" customHeight="1">
      <c r="A54" s="1125"/>
      <c r="B54" s="1140"/>
      <c r="C54" s="1165"/>
      <c r="D54" s="1124"/>
      <c r="E54" s="1167"/>
      <c r="F54" s="1125"/>
      <c r="G54" s="714">
        <v>171719</v>
      </c>
      <c r="H54" s="714">
        <v>0</v>
      </c>
      <c r="I54" s="1168"/>
      <c r="J54" s="1168"/>
      <c r="K54" s="1129"/>
      <c r="L54" s="1129"/>
      <c r="M54" s="1168"/>
      <c r="N54" s="1168"/>
      <c r="O54" s="1129"/>
      <c r="P54" s="1129"/>
      <c r="Q54" s="1168"/>
      <c r="R54" s="1129"/>
      <c r="S54" s="1129"/>
      <c r="T54" s="1168"/>
      <c r="U54" s="1129"/>
      <c r="V54" s="1129"/>
    </row>
    <row r="55" spans="1:22" s="715" customFormat="1" ht="13.5" hidden="1" customHeight="1">
      <c r="A55" s="1125"/>
      <c r="B55" s="1140"/>
      <c r="C55" s="1165"/>
      <c r="D55" s="1124"/>
      <c r="E55" s="1167"/>
      <c r="F55" s="1125"/>
      <c r="G55" s="714">
        <v>32029</v>
      </c>
      <c r="H55" s="714">
        <v>0</v>
      </c>
      <c r="I55" s="716">
        <f>J55+M55</f>
        <v>0</v>
      </c>
      <c r="J55" s="716">
        <f>K55+L55</f>
        <v>0</v>
      </c>
      <c r="K55" s="694">
        <v>0</v>
      </c>
      <c r="L55" s="694">
        <v>0</v>
      </c>
      <c r="M55" s="716">
        <f>N55+Q55+T55</f>
        <v>0</v>
      </c>
      <c r="N55" s="716">
        <f>O55+P55</f>
        <v>0</v>
      </c>
      <c r="O55" s="694">
        <v>0</v>
      </c>
      <c r="P55" s="694">
        <v>0</v>
      </c>
      <c r="Q55" s="716">
        <f>R55+S55</f>
        <v>0</v>
      </c>
      <c r="R55" s="694">
        <v>0</v>
      </c>
      <c r="S55" s="694">
        <v>0</v>
      </c>
      <c r="T55" s="716">
        <f>U55+V55</f>
        <v>0</v>
      </c>
      <c r="U55" s="694">
        <v>0</v>
      </c>
      <c r="V55" s="694">
        <v>0</v>
      </c>
    </row>
    <row r="56" spans="1:22" s="715" customFormat="1" ht="13.5" hidden="1" customHeight="1">
      <c r="A56" s="1125"/>
      <c r="B56" s="1140"/>
      <c r="C56" s="1165"/>
      <c r="D56" s="1124"/>
      <c r="E56" s="1167"/>
      <c r="F56" s="1125"/>
      <c r="G56" s="714">
        <v>0</v>
      </c>
      <c r="H56" s="714">
        <v>0</v>
      </c>
      <c r="I56" s="1168">
        <f t="shared" ref="I56:V56" si="7">I53+I55</f>
        <v>92798</v>
      </c>
      <c r="J56" s="1168">
        <f t="shared" si="7"/>
        <v>78210</v>
      </c>
      <c r="K56" s="1129">
        <f t="shared" si="7"/>
        <v>78210</v>
      </c>
      <c r="L56" s="1129">
        <f t="shared" si="7"/>
        <v>0</v>
      </c>
      <c r="M56" s="1168">
        <f t="shared" si="7"/>
        <v>14588</v>
      </c>
      <c r="N56" s="1168">
        <f t="shared" si="7"/>
        <v>14588</v>
      </c>
      <c r="O56" s="1129">
        <f t="shared" si="7"/>
        <v>14588</v>
      </c>
      <c r="P56" s="1129">
        <f t="shared" si="7"/>
        <v>0</v>
      </c>
      <c r="Q56" s="1168">
        <f t="shared" si="7"/>
        <v>0</v>
      </c>
      <c r="R56" s="1129">
        <f t="shared" si="7"/>
        <v>0</v>
      </c>
      <c r="S56" s="1129">
        <f t="shared" si="7"/>
        <v>0</v>
      </c>
      <c r="T56" s="1168">
        <f t="shared" si="7"/>
        <v>0</v>
      </c>
      <c r="U56" s="1129">
        <f t="shared" si="7"/>
        <v>0</v>
      </c>
      <c r="V56" s="1129">
        <f t="shared" si="7"/>
        <v>0</v>
      </c>
    </row>
    <row r="57" spans="1:22" s="715" customFormat="1" ht="13.5" hidden="1" customHeight="1">
      <c r="A57" s="1125"/>
      <c r="B57" s="1141"/>
      <c r="C57" s="1166"/>
      <c r="D57" s="1124"/>
      <c r="E57" s="1167"/>
      <c r="F57" s="1125"/>
      <c r="G57" s="714">
        <v>0</v>
      </c>
      <c r="H57" s="714">
        <v>0</v>
      </c>
      <c r="I57" s="1168"/>
      <c r="J57" s="1168"/>
      <c r="K57" s="1129"/>
      <c r="L57" s="1129"/>
      <c r="M57" s="1168"/>
      <c r="N57" s="1168"/>
      <c r="O57" s="1129"/>
      <c r="P57" s="1129"/>
      <c r="Q57" s="1168"/>
      <c r="R57" s="1129"/>
      <c r="S57" s="1129"/>
      <c r="T57" s="1168"/>
      <c r="U57" s="1129"/>
      <c r="V57" s="1129"/>
    </row>
    <row r="58" spans="1:22" s="715" customFormat="1" ht="13.5" hidden="1" customHeight="1">
      <c r="A58" s="1125">
        <v>9</v>
      </c>
      <c r="B58" s="1139" t="s">
        <v>1004</v>
      </c>
      <c r="C58" s="1164" t="s">
        <v>1005</v>
      </c>
      <c r="D58" s="1124" t="s">
        <v>243</v>
      </c>
      <c r="E58" s="1167" t="s">
        <v>982</v>
      </c>
      <c r="F58" s="1125" t="s">
        <v>787</v>
      </c>
      <c r="G58" s="714">
        <f>G59+G60+G61+G62</f>
        <v>326482</v>
      </c>
      <c r="H58" s="714">
        <f>H59+H60+H61+H62</f>
        <v>0</v>
      </c>
      <c r="I58" s="1168">
        <f>J58+M58</f>
        <v>174214</v>
      </c>
      <c r="J58" s="1168">
        <f>K58+L58</f>
        <v>163142</v>
      </c>
      <c r="K58" s="1129">
        <v>163142</v>
      </c>
      <c r="L58" s="1129">
        <v>0</v>
      </c>
      <c r="M58" s="1168">
        <f>N58+Q58+T58</f>
        <v>11072</v>
      </c>
      <c r="N58" s="1168">
        <f>O58+P58</f>
        <v>11072</v>
      </c>
      <c r="O58" s="1129">
        <v>11072</v>
      </c>
      <c r="P58" s="1129">
        <v>0</v>
      </c>
      <c r="Q58" s="1168">
        <f>R58+S58</f>
        <v>0</v>
      </c>
      <c r="R58" s="1129">
        <v>0</v>
      </c>
      <c r="S58" s="1129">
        <v>0</v>
      </c>
      <c r="T58" s="1168">
        <f>U58+V58</f>
        <v>0</v>
      </c>
      <c r="U58" s="1129">
        <v>0</v>
      </c>
      <c r="V58" s="1129">
        <v>0</v>
      </c>
    </row>
    <row r="59" spans="1:22" s="715" customFormat="1" ht="13.5" hidden="1" customHeight="1">
      <c r="A59" s="1125"/>
      <c r="B59" s="1140"/>
      <c r="C59" s="1165"/>
      <c r="D59" s="1124"/>
      <c r="E59" s="1167"/>
      <c r="F59" s="1125"/>
      <c r="G59" s="714">
        <v>305736</v>
      </c>
      <c r="H59" s="714">
        <v>0</v>
      </c>
      <c r="I59" s="1168"/>
      <c r="J59" s="1168"/>
      <c r="K59" s="1129"/>
      <c r="L59" s="1129"/>
      <c r="M59" s="1168"/>
      <c r="N59" s="1168"/>
      <c r="O59" s="1129"/>
      <c r="P59" s="1129"/>
      <c r="Q59" s="1168"/>
      <c r="R59" s="1129"/>
      <c r="S59" s="1129"/>
      <c r="T59" s="1168"/>
      <c r="U59" s="1129"/>
      <c r="V59" s="1129"/>
    </row>
    <row r="60" spans="1:22" s="715" customFormat="1" ht="13.5" hidden="1" customHeight="1">
      <c r="A60" s="1125"/>
      <c r="B60" s="1140"/>
      <c r="C60" s="1165"/>
      <c r="D60" s="1124"/>
      <c r="E60" s="1167"/>
      <c r="F60" s="1125"/>
      <c r="G60" s="714">
        <v>20746</v>
      </c>
      <c r="H60" s="714">
        <v>0</v>
      </c>
      <c r="I60" s="716">
        <f>J60+M60</f>
        <v>0</v>
      </c>
      <c r="J60" s="716">
        <f>K60+L60</f>
        <v>0</v>
      </c>
      <c r="K60" s="694">
        <v>0</v>
      </c>
      <c r="L60" s="694">
        <v>0</v>
      </c>
      <c r="M60" s="716">
        <f>N60+Q60+T60</f>
        <v>0</v>
      </c>
      <c r="N60" s="716">
        <f>O60+P60</f>
        <v>0</v>
      </c>
      <c r="O60" s="694">
        <v>0</v>
      </c>
      <c r="P60" s="694">
        <v>0</v>
      </c>
      <c r="Q60" s="716">
        <f>R60+S60</f>
        <v>0</v>
      </c>
      <c r="R60" s="694">
        <v>0</v>
      </c>
      <c r="S60" s="694">
        <v>0</v>
      </c>
      <c r="T60" s="716">
        <f>U60+V60</f>
        <v>0</v>
      </c>
      <c r="U60" s="694">
        <v>0</v>
      </c>
      <c r="V60" s="694">
        <v>0</v>
      </c>
    </row>
    <row r="61" spans="1:22" s="715" customFormat="1" ht="13.5" hidden="1" customHeight="1">
      <c r="A61" s="1125"/>
      <c r="B61" s="1140"/>
      <c r="C61" s="1165"/>
      <c r="D61" s="1124"/>
      <c r="E61" s="1167"/>
      <c r="F61" s="1125"/>
      <c r="G61" s="714">
        <v>0</v>
      </c>
      <c r="H61" s="714">
        <v>0</v>
      </c>
      <c r="I61" s="1168">
        <f t="shared" ref="I61:V61" si="8">I58+I60</f>
        <v>174214</v>
      </c>
      <c r="J61" s="1168">
        <f t="shared" si="8"/>
        <v>163142</v>
      </c>
      <c r="K61" s="1129">
        <f t="shared" si="8"/>
        <v>163142</v>
      </c>
      <c r="L61" s="1129">
        <f t="shared" si="8"/>
        <v>0</v>
      </c>
      <c r="M61" s="1168">
        <f t="shared" si="8"/>
        <v>11072</v>
      </c>
      <c r="N61" s="1168">
        <f t="shared" si="8"/>
        <v>11072</v>
      </c>
      <c r="O61" s="1129">
        <f t="shared" si="8"/>
        <v>11072</v>
      </c>
      <c r="P61" s="1129">
        <f t="shared" si="8"/>
        <v>0</v>
      </c>
      <c r="Q61" s="1168">
        <f t="shared" si="8"/>
        <v>0</v>
      </c>
      <c r="R61" s="1129">
        <f t="shared" si="8"/>
        <v>0</v>
      </c>
      <c r="S61" s="1129">
        <f t="shared" si="8"/>
        <v>0</v>
      </c>
      <c r="T61" s="1168">
        <f t="shared" si="8"/>
        <v>0</v>
      </c>
      <c r="U61" s="1129">
        <f t="shared" si="8"/>
        <v>0</v>
      </c>
      <c r="V61" s="1129">
        <f t="shared" si="8"/>
        <v>0</v>
      </c>
    </row>
    <row r="62" spans="1:22" s="715" customFormat="1" ht="13.5" hidden="1" customHeight="1">
      <c r="A62" s="1125"/>
      <c r="B62" s="1141"/>
      <c r="C62" s="1166"/>
      <c r="D62" s="1124"/>
      <c r="E62" s="1167"/>
      <c r="F62" s="1125"/>
      <c r="G62" s="714">
        <v>0</v>
      </c>
      <c r="H62" s="714">
        <v>0</v>
      </c>
      <c r="I62" s="1168"/>
      <c r="J62" s="1168"/>
      <c r="K62" s="1129"/>
      <c r="L62" s="1129"/>
      <c r="M62" s="1168"/>
      <c r="N62" s="1168"/>
      <c r="O62" s="1129"/>
      <c r="P62" s="1129"/>
      <c r="Q62" s="1168"/>
      <c r="R62" s="1129"/>
      <c r="S62" s="1129"/>
      <c r="T62" s="1168"/>
      <c r="U62" s="1129"/>
      <c r="V62" s="1129"/>
    </row>
    <row r="63" spans="1:22" s="715" customFormat="1" ht="13.5" hidden="1" customHeight="1">
      <c r="A63" s="1125">
        <v>4</v>
      </c>
      <c r="B63" s="1124" t="s">
        <v>1006</v>
      </c>
      <c r="C63" s="1164" t="s">
        <v>1007</v>
      </c>
      <c r="D63" s="1124" t="s">
        <v>992</v>
      </c>
      <c r="E63" s="1167" t="s">
        <v>850</v>
      </c>
      <c r="F63" s="1125" t="s">
        <v>1008</v>
      </c>
      <c r="G63" s="714">
        <f>G64+G65+G66+G67</f>
        <v>17199313</v>
      </c>
      <c r="H63" s="714">
        <f>H64+H65+H66+H67</f>
        <v>10892362</v>
      </c>
      <c r="I63" s="1168">
        <f>J63+M63</f>
        <v>3161484</v>
      </c>
      <c r="J63" s="1168">
        <f>K63+L63</f>
        <v>2664499</v>
      </c>
      <c r="K63" s="1129">
        <v>2640901</v>
      </c>
      <c r="L63" s="1129">
        <v>23598</v>
      </c>
      <c r="M63" s="1168">
        <f>N63+Q63+T63</f>
        <v>496985</v>
      </c>
      <c r="N63" s="1168">
        <f>O63+P63</f>
        <v>0</v>
      </c>
      <c r="O63" s="1129">
        <v>0</v>
      </c>
      <c r="P63" s="1129">
        <v>0</v>
      </c>
      <c r="Q63" s="1168">
        <f>R63+S63</f>
        <v>496985</v>
      </c>
      <c r="R63" s="1129">
        <v>492583</v>
      </c>
      <c r="S63" s="1129">
        <v>4402</v>
      </c>
      <c r="T63" s="1168">
        <f>U63+V63</f>
        <v>0</v>
      </c>
      <c r="U63" s="1129">
        <v>0</v>
      </c>
      <c r="V63" s="1129">
        <v>0</v>
      </c>
    </row>
    <row r="64" spans="1:22" s="715" customFormat="1" ht="13.5" hidden="1" customHeight="1">
      <c r="A64" s="1125"/>
      <c r="B64" s="1124"/>
      <c r="C64" s="1165"/>
      <c r="D64" s="1124"/>
      <c r="E64" s="1167"/>
      <c r="F64" s="1125"/>
      <c r="G64" s="714">
        <v>14495580</v>
      </c>
      <c r="H64" s="714">
        <v>9180080</v>
      </c>
      <c r="I64" s="1168"/>
      <c r="J64" s="1168"/>
      <c r="K64" s="1129"/>
      <c r="L64" s="1129"/>
      <c r="M64" s="1168"/>
      <c r="N64" s="1168"/>
      <c r="O64" s="1129"/>
      <c r="P64" s="1129"/>
      <c r="Q64" s="1168"/>
      <c r="R64" s="1129"/>
      <c r="S64" s="1129"/>
      <c r="T64" s="1168"/>
      <c r="U64" s="1129"/>
      <c r="V64" s="1129"/>
    </row>
    <row r="65" spans="1:22" s="715" customFormat="1" ht="13.5" hidden="1" customHeight="1">
      <c r="A65" s="1125"/>
      <c r="B65" s="1124"/>
      <c r="C65" s="1165"/>
      <c r="D65" s="1124"/>
      <c r="E65" s="1167"/>
      <c r="F65" s="1125"/>
      <c r="G65" s="714">
        <v>0</v>
      </c>
      <c r="H65" s="714">
        <v>0</v>
      </c>
      <c r="I65" s="716">
        <f>J65+M65</f>
        <v>0</v>
      </c>
      <c r="J65" s="716">
        <f>K65+L65</f>
        <v>0</v>
      </c>
      <c r="K65" s="694">
        <v>0</v>
      </c>
      <c r="L65" s="694">
        <v>0</v>
      </c>
      <c r="M65" s="716">
        <f>N65+Q65+T65</f>
        <v>0</v>
      </c>
      <c r="N65" s="716">
        <f>O65+P65</f>
        <v>0</v>
      </c>
      <c r="O65" s="694">
        <v>0</v>
      </c>
      <c r="P65" s="694">
        <v>0</v>
      </c>
      <c r="Q65" s="716">
        <f>R65+S65</f>
        <v>0</v>
      </c>
      <c r="R65" s="694">
        <v>0</v>
      </c>
      <c r="S65" s="694">
        <v>0</v>
      </c>
      <c r="T65" s="716">
        <f>U65+V65</f>
        <v>0</v>
      </c>
      <c r="U65" s="694">
        <v>0</v>
      </c>
      <c r="V65" s="694">
        <v>0</v>
      </c>
    </row>
    <row r="66" spans="1:22" s="715" customFormat="1" ht="13.5" hidden="1" customHeight="1">
      <c r="A66" s="1125"/>
      <c r="B66" s="1124"/>
      <c r="C66" s="1165"/>
      <c r="D66" s="1124"/>
      <c r="E66" s="1167"/>
      <c r="F66" s="1125"/>
      <c r="G66" s="714">
        <v>2703733</v>
      </c>
      <c r="H66" s="714">
        <v>1712282</v>
      </c>
      <c r="I66" s="1168">
        <f t="shared" ref="I66:V66" si="9">I63+I65</f>
        <v>3161484</v>
      </c>
      <c r="J66" s="1168">
        <f t="shared" si="9"/>
        <v>2664499</v>
      </c>
      <c r="K66" s="1129">
        <f t="shared" si="9"/>
        <v>2640901</v>
      </c>
      <c r="L66" s="1129">
        <f t="shared" si="9"/>
        <v>23598</v>
      </c>
      <c r="M66" s="1168">
        <f t="shared" si="9"/>
        <v>496985</v>
      </c>
      <c r="N66" s="1168">
        <f t="shared" si="9"/>
        <v>0</v>
      </c>
      <c r="O66" s="1129">
        <f t="shared" si="9"/>
        <v>0</v>
      </c>
      <c r="P66" s="1129">
        <f t="shared" si="9"/>
        <v>0</v>
      </c>
      <c r="Q66" s="1168">
        <f t="shared" si="9"/>
        <v>496985</v>
      </c>
      <c r="R66" s="1129">
        <f t="shared" si="9"/>
        <v>492583</v>
      </c>
      <c r="S66" s="1129">
        <f t="shared" si="9"/>
        <v>4402</v>
      </c>
      <c r="T66" s="1168">
        <f t="shared" si="9"/>
        <v>0</v>
      </c>
      <c r="U66" s="1129">
        <f t="shared" si="9"/>
        <v>0</v>
      </c>
      <c r="V66" s="1129">
        <f t="shared" si="9"/>
        <v>0</v>
      </c>
    </row>
    <row r="67" spans="1:22" s="715" customFormat="1" ht="13.5" hidden="1" customHeight="1">
      <c r="A67" s="1125"/>
      <c r="B67" s="1124"/>
      <c r="C67" s="1166"/>
      <c r="D67" s="1124"/>
      <c r="E67" s="1167"/>
      <c r="F67" s="1125"/>
      <c r="G67" s="714">
        <v>0</v>
      </c>
      <c r="H67" s="714">
        <v>0</v>
      </c>
      <c r="I67" s="1168"/>
      <c r="J67" s="1168"/>
      <c r="K67" s="1129"/>
      <c r="L67" s="1129"/>
      <c r="M67" s="1168"/>
      <c r="N67" s="1168"/>
      <c r="O67" s="1129"/>
      <c r="P67" s="1129"/>
      <c r="Q67" s="1168"/>
      <c r="R67" s="1129"/>
      <c r="S67" s="1129"/>
      <c r="T67" s="1168"/>
      <c r="U67" s="1129"/>
      <c r="V67" s="1129"/>
    </row>
    <row r="68" spans="1:22" s="715" customFormat="1" ht="13.5" hidden="1" customHeight="1">
      <c r="A68" s="1125">
        <v>11</v>
      </c>
      <c r="B68" s="1139" t="s">
        <v>1009</v>
      </c>
      <c r="C68" s="1169" t="s">
        <v>1010</v>
      </c>
      <c r="D68" s="1124" t="s">
        <v>243</v>
      </c>
      <c r="E68" s="1167" t="s">
        <v>1011</v>
      </c>
      <c r="F68" s="1125" t="s">
        <v>1012</v>
      </c>
      <c r="G68" s="714">
        <f>G69+G70+G71+G72</f>
        <v>32013540</v>
      </c>
      <c r="H68" s="714">
        <f>H69+H70+H71+H72</f>
        <v>16393540</v>
      </c>
      <c r="I68" s="1168">
        <f>J68+M68</f>
        <v>4300000</v>
      </c>
      <c r="J68" s="1168">
        <f>K68+L68</f>
        <v>2736000</v>
      </c>
      <c r="K68" s="1129">
        <v>2736000</v>
      </c>
      <c r="L68" s="1129">
        <v>0</v>
      </c>
      <c r="M68" s="1168">
        <f>N68+Q68+T68</f>
        <v>1564000</v>
      </c>
      <c r="N68" s="1168">
        <f>O68+P68</f>
        <v>1564000</v>
      </c>
      <c r="O68" s="1129">
        <v>1564000</v>
      </c>
      <c r="P68" s="1129">
        <v>0</v>
      </c>
      <c r="Q68" s="1168">
        <f>R68+S68</f>
        <v>0</v>
      </c>
      <c r="R68" s="1129">
        <v>0</v>
      </c>
      <c r="S68" s="1129">
        <v>0</v>
      </c>
      <c r="T68" s="1168">
        <f>U68+V68</f>
        <v>0</v>
      </c>
      <c r="U68" s="1129">
        <v>0</v>
      </c>
      <c r="V68" s="1129">
        <v>0</v>
      </c>
    </row>
    <row r="69" spans="1:22" s="715" customFormat="1" ht="13.5" hidden="1" customHeight="1">
      <c r="A69" s="1125"/>
      <c r="B69" s="1140"/>
      <c r="C69" s="1169"/>
      <c r="D69" s="1124"/>
      <c r="E69" s="1167"/>
      <c r="F69" s="1125"/>
      <c r="G69" s="714">
        <v>20369748</v>
      </c>
      <c r="H69" s="714">
        <v>10430748</v>
      </c>
      <c r="I69" s="1168"/>
      <c r="J69" s="1168"/>
      <c r="K69" s="1129"/>
      <c r="L69" s="1129"/>
      <c r="M69" s="1168"/>
      <c r="N69" s="1168"/>
      <c r="O69" s="1129"/>
      <c r="P69" s="1129"/>
      <c r="Q69" s="1168"/>
      <c r="R69" s="1129"/>
      <c r="S69" s="1129"/>
      <c r="T69" s="1168"/>
      <c r="U69" s="1129"/>
      <c r="V69" s="1129"/>
    </row>
    <row r="70" spans="1:22" s="715" customFormat="1" ht="13.5" hidden="1" customHeight="1">
      <c r="A70" s="1125"/>
      <c r="B70" s="1140"/>
      <c r="C70" s="1169"/>
      <c r="D70" s="1124"/>
      <c r="E70" s="1167"/>
      <c r="F70" s="1125"/>
      <c r="G70" s="714">
        <v>11643792</v>
      </c>
      <c r="H70" s="714">
        <v>5962792</v>
      </c>
      <c r="I70" s="716">
        <f>J70+M70</f>
        <v>0</v>
      </c>
      <c r="J70" s="716">
        <f>K70+L70</f>
        <v>0</v>
      </c>
      <c r="K70" s="694">
        <v>0</v>
      </c>
      <c r="L70" s="694">
        <v>0</v>
      </c>
      <c r="M70" s="716">
        <f>N70+Q70+T70</f>
        <v>0</v>
      </c>
      <c r="N70" s="716">
        <f>O70+P70</f>
        <v>0</v>
      </c>
      <c r="O70" s="694">
        <v>0</v>
      </c>
      <c r="P70" s="694">
        <v>0</v>
      </c>
      <c r="Q70" s="716">
        <f>R70+S70</f>
        <v>0</v>
      </c>
      <c r="R70" s="694">
        <v>0</v>
      </c>
      <c r="S70" s="694">
        <v>0</v>
      </c>
      <c r="T70" s="716">
        <f>U70+V70</f>
        <v>0</v>
      </c>
      <c r="U70" s="694">
        <v>0</v>
      </c>
      <c r="V70" s="694">
        <v>0</v>
      </c>
    </row>
    <row r="71" spans="1:22" s="715" customFormat="1" ht="13.5" hidden="1" customHeight="1">
      <c r="A71" s="1125"/>
      <c r="B71" s="1140"/>
      <c r="C71" s="1169"/>
      <c r="D71" s="1124"/>
      <c r="E71" s="1167"/>
      <c r="F71" s="1125"/>
      <c r="G71" s="714">
        <v>0</v>
      </c>
      <c r="H71" s="714">
        <v>0</v>
      </c>
      <c r="I71" s="1168">
        <f t="shared" ref="I71:V71" si="10">I68+I70</f>
        <v>4300000</v>
      </c>
      <c r="J71" s="1168">
        <f t="shared" si="10"/>
        <v>2736000</v>
      </c>
      <c r="K71" s="1129">
        <f t="shared" si="10"/>
        <v>2736000</v>
      </c>
      <c r="L71" s="1129">
        <f t="shared" si="10"/>
        <v>0</v>
      </c>
      <c r="M71" s="1168">
        <f t="shared" si="10"/>
        <v>1564000</v>
      </c>
      <c r="N71" s="1168">
        <f t="shared" si="10"/>
        <v>1564000</v>
      </c>
      <c r="O71" s="1129">
        <f t="shared" si="10"/>
        <v>1564000</v>
      </c>
      <c r="P71" s="1129">
        <f t="shared" si="10"/>
        <v>0</v>
      </c>
      <c r="Q71" s="1168">
        <f t="shared" si="10"/>
        <v>0</v>
      </c>
      <c r="R71" s="1129">
        <f t="shared" si="10"/>
        <v>0</v>
      </c>
      <c r="S71" s="1129">
        <f t="shared" si="10"/>
        <v>0</v>
      </c>
      <c r="T71" s="1168">
        <f t="shared" si="10"/>
        <v>0</v>
      </c>
      <c r="U71" s="1129">
        <f t="shared" si="10"/>
        <v>0</v>
      </c>
      <c r="V71" s="1129">
        <f t="shared" si="10"/>
        <v>0</v>
      </c>
    </row>
    <row r="72" spans="1:22" s="715" customFormat="1" ht="13.5" hidden="1" customHeight="1">
      <c r="A72" s="1125"/>
      <c r="B72" s="1141"/>
      <c r="C72" s="1169"/>
      <c r="D72" s="1124"/>
      <c r="E72" s="1167"/>
      <c r="F72" s="1125"/>
      <c r="G72" s="714">
        <v>0</v>
      </c>
      <c r="H72" s="714">
        <v>0</v>
      </c>
      <c r="I72" s="1168"/>
      <c r="J72" s="1168"/>
      <c r="K72" s="1129"/>
      <c r="L72" s="1129"/>
      <c r="M72" s="1168"/>
      <c r="N72" s="1168"/>
      <c r="O72" s="1129"/>
      <c r="P72" s="1129"/>
      <c r="Q72" s="1168"/>
      <c r="R72" s="1129"/>
      <c r="S72" s="1129"/>
      <c r="T72" s="1168"/>
      <c r="U72" s="1129"/>
      <c r="V72" s="1129"/>
    </row>
    <row r="73" spans="1:22" s="715" customFormat="1" ht="15.75" hidden="1" customHeight="1">
      <c r="A73" s="1125">
        <v>12</v>
      </c>
      <c r="B73" s="1139" t="s">
        <v>1009</v>
      </c>
      <c r="C73" s="1169" t="s">
        <v>1013</v>
      </c>
      <c r="D73" s="1124" t="s">
        <v>243</v>
      </c>
      <c r="E73" s="1167" t="s">
        <v>1011</v>
      </c>
      <c r="F73" s="1125" t="s">
        <v>1012</v>
      </c>
      <c r="G73" s="714">
        <f>G74+G75+G76+G77</f>
        <v>919398</v>
      </c>
      <c r="H73" s="714">
        <f>H74+H75+H76+H77</f>
        <v>519398</v>
      </c>
      <c r="I73" s="1168">
        <f>J73+M73</f>
        <v>100000</v>
      </c>
      <c r="J73" s="1168">
        <f>K73+L73</f>
        <v>64000</v>
      </c>
      <c r="K73" s="1129">
        <v>64000</v>
      </c>
      <c r="L73" s="1129">
        <v>0</v>
      </c>
      <c r="M73" s="1168">
        <f>N73+Q73+T73</f>
        <v>36000</v>
      </c>
      <c r="N73" s="1168">
        <f>O73+P73</f>
        <v>36000</v>
      </c>
      <c r="O73" s="1129">
        <v>36000</v>
      </c>
      <c r="P73" s="1129">
        <v>0</v>
      </c>
      <c r="Q73" s="1168">
        <f>R73+S73</f>
        <v>0</v>
      </c>
      <c r="R73" s="1129">
        <v>0</v>
      </c>
      <c r="S73" s="1129">
        <v>0</v>
      </c>
      <c r="T73" s="1168">
        <f>U73+V73</f>
        <v>0</v>
      </c>
      <c r="U73" s="1129">
        <v>0</v>
      </c>
      <c r="V73" s="1129">
        <v>0</v>
      </c>
    </row>
    <row r="74" spans="1:22" s="715" customFormat="1" ht="15.75" hidden="1" customHeight="1">
      <c r="A74" s="1125"/>
      <c r="B74" s="1140"/>
      <c r="C74" s="1169"/>
      <c r="D74" s="1124"/>
      <c r="E74" s="1167"/>
      <c r="F74" s="1125"/>
      <c r="G74" s="714">
        <v>586863</v>
      </c>
      <c r="H74" s="714">
        <v>330863</v>
      </c>
      <c r="I74" s="1168"/>
      <c r="J74" s="1168"/>
      <c r="K74" s="1129"/>
      <c r="L74" s="1129"/>
      <c r="M74" s="1168"/>
      <c r="N74" s="1168"/>
      <c r="O74" s="1129"/>
      <c r="P74" s="1129"/>
      <c r="Q74" s="1168"/>
      <c r="R74" s="1129"/>
      <c r="S74" s="1129"/>
      <c r="T74" s="1168"/>
      <c r="U74" s="1129"/>
      <c r="V74" s="1129"/>
    </row>
    <row r="75" spans="1:22" s="715" customFormat="1" ht="15.75" hidden="1" customHeight="1">
      <c r="A75" s="1125"/>
      <c r="B75" s="1140"/>
      <c r="C75" s="1169"/>
      <c r="D75" s="1124"/>
      <c r="E75" s="1167"/>
      <c r="F75" s="1125"/>
      <c r="G75" s="714">
        <v>332535</v>
      </c>
      <c r="H75" s="714">
        <v>188535</v>
      </c>
      <c r="I75" s="716">
        <f>J75+M75</f>
        <v>0</v>
      </c>
      <c r="J75" s="716">
        <f>K75+L75</f>
        <v>0</v>
      </c>
      <c r="K75" s="694">
        <v>0</v>
      </c>
      <c r="L75" s="694">
        <v>0</v>
      </c>
      <c r="M75" s="716">
        <f>N75+Q75+T75</f>
        <v>0</v>
      </c>
      <c r="N75" s="716">
        <f>O75+P75</f>
        <v>0</v>
      </c>
      <c r="O75" s="694">
        <v>0</v>
      </c>
      <c r="P75" s="694">
        <v>0</v>
      </c>
      <c r="Q75" s="716">
        <f>R75+S75</f>
        <v>0</v>
      </c>
      <c r="R75" s="694">
        <v>0</v>
      </c>
      <c r="S75" s="694">
        <v>0</v>
      </c>
      <c r="T75" s="716">
        <f>U75+V75</f>
        <v>0</v>
      </c>
      <c r="U75" s="694">
        <v>0</v>
      </c>
      <c r="V75" s="694">
        <v>0</v>
      </c>
    </row>
    <row r="76" spans="1:22" s="715" customFormat="1" ht="15.75" hidden="1" customHeight="1">
      <c r="A76" s="1125"/>
      <c r="B76" s="1140"/>
      <c r="C76" s="1169"/>
      <c r="D76" s="1124"/>
      <c r="E76" s="1167"/>
      <c r="F76" s="1125"/>
      <c r="G76" s="714">
        <v>0</v>
      </c>
      <c r="H76" s="714">
        <v>0</v>
      </c>
      <c r="I76" s="1168">
        <f t="shared" ref="I76:V76" si="11">I73+I75</f>
        <v>100000</v>
      </c>
      <c r="J76" s="1168">
        <f t="shared" si="11"/>
        <v>64000</v>
      </c>
      <c r="K76" s="1129">
        <f t="shared" si="11"/>
        <v>64000</v>
      </c>
      <c r="L76" s="1129">
        <f t="shared" si="11"/>
        <v>0</v>
      </c>
      <c r="M76" s="1168">
        <f t="shared" si="11"/>
        <v>36000</v>
      </c>
      <c r="N76" s="1168">
        <f t="shared" si="11"/>
        <v>36000</v>
      </c>
      <c r="O76" s="1129">
        <f t="shared" si="11"/>
        <v>36000</v>
      </c>
      <c r="P76" s="1129">
        <f t="shared" si="11"/>
        <v>0</v>
      </c>
      <c r="Q76" s="1168">
        <f t="shared" si="11"/>
        <v>0</v>
      </c>
      <c r="R76" s="1129">
        <f t="shared" si="11"/>
        <v>0</v>
      </c>
      <c r="S76" s="1129">
        <f t="shared" si="11"/>
        <v>0</v>
      </c>
      <c r="T76" s="1168">
        <f t="shared" si="11"/>
        <v>0</v>
      </c>
      <c r="U76" s="1129">
        <f t="shared" si="11"/>
        <v>0</v>
      </c>
      <c r="V76" s="1129">
        <f t="shared" si="11"/>
        <v>0</v>
      </c>
    </row>
    <row r="77" spans="1:22" s="715" customFormat="1" ht="15.75" hidden="1" customHeight="1">
      <c r="A77" s="1125"/>
      <c r="B77" s="1141"/>
      <c r="C77" s="1169"/>
      <c r="D77" s="1124"/>
      <c r="E77" s="1167"/>
      <c r="F77" s="1125"/>
      <c r="G77" s="714">
        <v>0</v>
      </c>
      <c r="H77" s="714">
        <v>0</v>
      </c>
      <c r="I77" s="1168"/>
      <c r="J77" s="1168"/>
      <c r="K77" s="1129"/>
      <c r="L77" s="1129"/>
      <c r="M77" s="1168"/>
      <c r="N77" s="1168"/>
      <c r="O77" s="1129"/>
      <c r="P77" s="1129"/>
      <c r="Q77" s="1168"/>
      <c r="R77" s="1129"/>
      <c r="S77" s="1129"/>
      <c r="T77" s="1168"/>
      <c r="U77" s="1129"/>
      <c r="V77" s="1129"/>
    </row>
    <row r="78" spans="1:22" s="715" customFormat="1" ht="15.75" hidden="1" customHeight="1">
      <c r="A78" s="1125">
        <v>13</v>
      </c>
      <c r="B78" s="1139" t="s">
        <v>1009</v>
      </c>
      <c r="C78" s="1169" t="s">
        <v>1014</v>
      </c>
      <c r="D78" s="1124" t="s">
        <v>243</v>
      </c>
      <c r="E78" s="1167" t="s">
        <v>1011</v>
      </c>
      <c r="F78" s="1125" t="s">
        <v>1012</v>
      </c>
      <c r="G78" s="714">
        <f>G79+G80+G81+G82</f>
        <v>7969332</v>
      </c>
      <c r="H78" s="714">
        <f>H79+H80+H81+H82</f>
        <v>4979332</v>
      </c>
      <c r="I78" s="1168">
        <f>J78+M78</f>
        <v>1200000</v>
      </c>
      <c r="J78" s="1168">
        <f>K78+L78</f>
        <v>764000</v>
      </c>
      <c r="K78" s="1129">
        <v>764000</v>
      </c>
      <c r="L78" s="1129">
        <v>0</v>
      </c>
      <c r="M78" s="1168">
        <f>N78+Q78+T78</f>
        <v>436000</v>
      </c>
      <c r="N78" s="1168">
        <f>O78+P78</f>
        <v>436000</v>
      </c>
      <c r="O78" s="1129">
        <v>436000</v>
      </c>
      <c r="P78" s="1129">
        <v>0</v>
      </c>
      <c r="Q78" s="1168">
        <f>R78+S78</f>
        <v>0</v>
      </c>
      <c r="R78" s="1129">
        <v>0</v>
      </c>
      <c r="S78" s="1129">
        <v>0</v>
      </c>
      <c r="T78" s="1168">
        <f>U78+V78</f>
        <v>0</v>
      </c>
      <c r="U78" s="1129">
        <v>0</v>
      </c>
      <c r="V78" s="1129">
        <v>0</v>
      </c>
    </row>
    <row r="79" spans="1:22" s="715" customFormat="1" ht="15.75" hidden="1" customHeight="1">
      <c r="A79" s="1125"/>
      <c r="B79" s="1140"/>
      <c r="C79" s="1169"/>
      <c r="D79" s="1124"/>
      <c r="E79" s="1167"/>
      <c r="F79" s="1125"/>
      <c r="G79" s="714">
        <v>5072788</v>
      </c>
      <c r="H79" s="714">
        <v>3168788</v>
      </c>
      <c r="I79" s="1168"/>
      <c r="J79" s="1168"/>
      <c r="K79" s="1129"/>
      <c r="L79" s="1129"/>
      <c r="M79" s="1168"/>
      <c r="N79" s="1168"/>
      <c r="O79" s="1129"/>
      <c r="P79" s="1129"/>
      <c r="Q79" s="1168"/>
      <c r="R79" s="1129"/>
      <c r="S79" s="1129"/>
      <c r="T79" s="1168"/>
      <c r="U79" s="1129"/>
      <c r="V79" s="1129"/>
    </row>
    <row r="80" spans="1:22" s="715" customFormat="1" ht="15.75" hidden="1" customHeight="1">
      <c r="A80" s="1125"/>
      <c r="B80" s="1140"/>
      <c r="C80" s="1169"/>
      <c r="D80" s="1124"/>
      <c r="E80" s="1167"/>
      <c r="F80" s="1125"/>
      <c r="G80" s="714">
        <v>2896544</v>
      </c>
      <c r="H80" s="714">
        <v>1810544</v>
      </c>
      <c r="I80" s="716">
        <f>J80+M80</f>
        <v>0</v>
      </c>
      <c r="J80" s="716">
        <f>K80+L80</f>
        <v>0</v>
      </c>
      <c r="K80" s="694">
        <v>0</v>
      </c>
      <c r="L80" s="694">
        <v>0</v>
      </c>
      <c r="M80" s="716">
        <f>N80+Q80+T80</f>
        <v>0</v>
      </c>
      <c r="N80" s="716">
        <f>O80+P80</f>
        <v>0</v>
      </c>
      <c r="O80" s="694">
        <v>0</v>
      </c>
      <c r="P80" s="694">
        <v>0</v>
      </c>
      <c r="Q80" s="716">
        <f>R80+S80</f>
        <v>0</v>
      </c>
      <c r="R80" s="694">
        <v>0</v>
      </c>
      <c r="S80" s="694">
        <v>0</v>
      </c>
      <c r="T80" s="716">
        <f>U80+V80</f>
        <v>0</v>
      </c>
      <c r="U80" s="694">
        <v>0</v>
      </c>
      <c r="V80" s="694">
        <v>0</v>
      </c>
    </row>
    <row r="81" spans="1:22" s="715" customFormat="1" ht="15.75" hidden="1" customHeight="1">
      <c r="A81" s="1125"/>
      <c r="B81" s="1140"/>
      <c r="C81" s="1169"/>
      <c r="D81" s="1124"/>
      <c r="E81" s="1167"/>
      <c r="F81" s="1125"/>
      <c r="G81" s="714">
        <v>0</v>
      </c>
      <c r="H81" s="714">
        <v>0</v>
      </c>
      <c r="I81" s="1168">
        <f t="shared" ref="I81:V81" si="12">I78+I80</f>
        <v>1200000</v>
      </c>
      <c r="J81" s="1168">
        <f t="shared" si="12"/>
        <v>764000</v>
      </c>
      <c r="K81" s="1129">
        <f t="shared" si="12"/>
        <v>764000</v>
      </c>
      <c r="L81" s="1129">
        <f t="shared" si="12"/>
        <v>0</v>
      </c>
      <c r="M81" s="1168">
        <f t="shared" si="12"/>
        <v>436000</v>
      </c>
      <c r="N81" s="1168">
        <f t="shared" si="12"/>
        <v>436000</v>
      </c>
      <c r="O81" s="1129">
        <f t="shared" si="12"/>
        <v>436000</v>
      </c>
      <c r="P81" s="1129">
        <f t="shared" si="12"/>
        <v>0</v>
      </c>
      <c r="Q81" s="1168">
        <f t="shared" si="12"/>
        <v>0</v>
      </c>
      <c r="R81" s="1129">
        <f t="shared" si="12"/>
        <v>0</v>
      </c>
      <c r="S81" s="1129">
        <f t="shared" si="12"/>
        <v>0</v>
      </c>
      <c r="T81" s="1168">
        <f t="shared" si="12"/>
        <v>0</v>
      </c>
      <c r="U81" s="1129">
        <f t="shared" si="12"/>
        <v>0</v>
      </c>
      <c r="V81" s="1129">
        <f t="shared" si="12"/>
        <v>0</v>
      </c>
    </row>
    <row r="82" spans="1:22" s="715" customFormat="1" ht="15.75" hidden="1" customHeight="1">
      <c r="A82" s="1125"/>
      <c r="B82" s="1141"/>
      <c r="C82" s="1169"/>
      <c r="D82" s="1124"/>
      <c r="E82" s="1167"/>
      <c r="F82" s="1125"/>
      <c r="G82" s="714">
        <v>0</v>
      </c>
      <c r="H82" s="714">
        <v>0</v>
      </c>
      <c r="I82" s="1168"/>
      <c r="J82" s="1168"/>
      <c r="K82" s="1129"/>
      <c r="L82" s="1129"/>
      <c r="M82" s="1168"/>
      <c r="N82" s="1168"/>
      <c r="O82" s="1129"/>
      <c r="P82" s="1129"/>
      <c r="Q82" s="1168"/>
      <c r="R82" s="1129"/>
      <c r="S82" s="1129"/>
      <c r="T82" s="1168"/>
      <c r="U82" s="1129"/>
      <c r="V82" s="1129"/>
    </row>
    <row r="83" spans="1:22" s="715" customFormat="1" ht="15" customHeight="1">
      <c r="A83" s="1125">
        <v>1</v>
      </c>
      <c r="B83" s="1124" t="s">
        <v>1015</v>
      </c>
      <c r="C83" s="1164" t="s">
        <v>1016</v>
      </c>
      <c r="D83" s="1124" t="s">
        <v>243</v>
      </c>
      <c r="E83" s="1167" t="s">
        <v>1017</v>
      </c>
      <c r="F83" s="1125" t="s">
        <v>776</v>
      </c>
      <c r="G83" s="714">
        <f>G85+G84+G86+G87</f>
        <v>2598155</v>
      </c>
      <c r="H83" s="714">
        <f>H85+H84+H86+H87</f>
        <v>2075695</v>
      </c>
      <c r="I83" s="1168">
        <f>J83+M83</f>
        <v>380000</v>
      </c>
      <c r="J83" s="1168">
        <f>K83+L83</f>
        <v>285000</v>
      </c>
      <c r="K83" s="1129">
        <v>285000</v>
      </c>
      <c r="L83" s="1129">
        <v>0</v>
      </c>
      <c r="M83" s="1168">
        <f>N83+Q83+T83</f>
        <v>95000</v>
      </c>
      <c r="N83" s="1168">
        <f>O83+P83</f>
        <v>95000</v>
      </c>
      <c r="O83" s="1129">
        <v>95000</v>
      </c>
      <c r="P83" s="1129">
        <v>0</v>
      </c>
      <c r="Q83" s="1168">
        <f>R83+S83</f>
        <v>0</v>
      </c>
      <c r="R83" s="1129">
        <v>0</v>
      </c>
      <c r="S83" s="1129">
        <v>0</v>
      </c>
      <c r="T83" s="1168">
        <f>U83+V83</f>
        <v>0</v>
      </c>
      <c r="U83" s="1129">
        <v>0</v>
      </c>
      <c r="V83" s="1129">
        <v>0</v>
      </c>
    </row>
    <row r="84" spans="1:22" s="715" customFormat="1" ht="14.25" customHeight="1">
      <c r="A84" s="1125"/>
      <c r="B84" s="1124"/>
      <c r="C84" s="1165"/>
      <c r="D84" s="1124"/>
      <c r="E84" s="1167"/>
      <c r="F84" s="1125"/>
      <c r="G84" s="714">
        <v>1948617</v>
      </c>
      <c r="H84" s="714">
        <v>1556771</v>
      </c>
      <c r="I84" s="1168"/>
      <c r="J84" s="1168"/>
      <c r="K84" s="1129"/>
      <c r="L84" s="1129"/>
      <c r="M84" s="1168"/>
      <c r="N84" s="1168"/>
      <c r="O84" s="1129"/>
      <c r="P84" s="1129"/>
      <c r="Q84" s="1168"/>
      <c r="R84" s="1129"/>
      <c r="S84" s="1129"/>
      <c r="T84" s="1168"/>
      <c r="U84" s="1129"/>
      <c r="V84" s="1129"/>
    </row>
    <row r="85" spans="1:22" s="715" customFormat="1" ht="14.25" customHeight="1">
      <c r="A85" s="1125"/>
      <c r="B85" s="1124"/>
      <c r="C85" s="1165"/>
      <c r="D85" s="1124"/>
      <c r="E85" s="1167"/>
      <c r="F85" s="1125"/>
      <c r="G85" s="714">
        <v>649538</v>
      </c>
      <c r="H85" s="714">
        <v>518924</v>
      </c>
      <c r="I85" s="716">
        <f>J85+M85</f>
        <v>-105540</v>
      </c>
      <c r="J85" s="716">
        <f>K85+L85</f>
        <v>-79154</v>
      </c>
      <c r="K85" s="694">
        <v>-79154</v>
      </c>
      <c r="L85" s="694">
        <v>0</v>
      </c>
      <c r="M85" s="716">
        <f>N85+Q85+T85</f>
        <v>-26386</v>
      </c>
      <c r="N85" s="716">
        <f>O85+P85</f>
        <v>-26386</v>
      </c>
      <c r="O85" s="694">
        <v>-26386</v>
      </c>
      <c r="P85" s="694">
        <v>0</v>
      </c>
      <c r="Q85" s="716">
        <f>R85+S85</f>
        <v>0</v>
      </c>
      <c r="R85" s="694">
        <v>0</v>
      </c>
      <c r="S85" s="694">
        <v>0</v>
      </c>
      <c r="T85" s="716">
        <f>U85+V85</f>
        <v>0</v>
      </c>
      <c r="U85" s="694">
        <v>0</v>
      </c>
      <c r="V85" s="694">
        <v>0</v>
      </c>
    </row>
    <row r="86" spans="1:22" s="715" customFormat="1" ht="14.25" customHeight="1">
      <c r="A86" s="1125"/>
      <c r="B86" s="1124"/>
      <c r="C86" s="1165"/>
      <c r="D86" s="1124"/>
      <c r="E86" s="1167"/>
      <c r="F86" s="1125"/>
      <c r="G86" s="714">
        <v>0</v>
      </c>
      <c r="H86" s="714">
        <v>0</v>
      </c>
      <c r="I86" s="1168">
        <f t="shared" ref="I86:V86" si="13">I83+I85</f>
        <v>274460</v>
      </c>
      <c r="J86" s="1168">
        <f t="shared" si="13"/>
        <v>205846</v>
      </c>
      <c r="K86" s="1129">
        <f t="shared" si="13"/>
        <v>205846</v>
      </c>
      <c r="L86" s="1129">
        <f t="shared" si="13"/>
        <v>0</v>
      </c>
      <c r="M86" s="1168">
        <f t="shared" si="13"/>
        <v>68614</v>
      </c>
      <c r="N86" s="1168">
        <f t="shared" si="13"/>
        <v>68614</v>
      </c>
      <c r="O86" s="1129">
        <f t="shared" si="13"/>
        <v>68614</v>
      </c>
      <c r="P86" s="1129">
        <f t="shared" si="13"/>
        <v>0</v>
      </c>
      <c r="Q86" s="1168">
        <f t="shared" si="13"/>
        <v>0</v>
      </c>
      <c r="R86" s="1129">
        <f t="shared" si="13"/>
        <v>0</v>
      </c>
      <c r="S86" s="1129">
        <f t="shared" si="13"/>
        <v>0</v>
      </c>
      <c r="T86" s="1168">
        <f t="shared" si="13"/>
        <v>0</v>
      </c>
      <c r="U86" s="1129">
        <f t="shared" si="13"/>
        <v>0</v>
      </c>
      <c r="V86" s="1129">
        <f t="shared" si="13"/>
        <v>0</v>
      </c>
    </row>
    <row r="87" spans="1:22" s="715" customFormat="1" ht="14.25" customHeight="1">
      <c r="A87" s="1125"/>
      <c r="B87" s="1124"/>
      <c r="C87" s="1166"/>
      <c r="D87" s="1124"/>
      <c r="E87" s="1167"/>
      <c r="F87" s="1125"/>
      <c r="G87" s="714">
        <v>0</v>
      </c>
      <c r="H87" s="714">
        <v>0</v>
      </c>
      <c r="I87" s="1168"/>
      <c r="J87" s="1168"/>
      <c r="K87" s="1129"/>
      <c r="L87" s="1129"/>
      <c r="M87" s="1168"/>
      <c r="N87" s="1168"/>
      <c r="O87" s="1129"/>
      <c r="P87" s="1129"/>
      <c r="Q87" s="1168"/>
      <c r="R87" s="1129"/>
      <c r="S87" s="1129"/>
      <c r="T87" s="1168"/>
      <c r="U87" s="1129"/>
      <c r="V87" s="1129"/>
    </row>
    <row r="88" spans="1:22" s="715" customFormat="1" ht="15" hidden="1" customHeight="1">
      <c r="A88" s="1125">
        <v>15</v>
      </c>
      <c r="B88" s="1124" t="s">
        <v>1018</v>
      </c>
      <c r="C88" s="1164" t="s">
        <v>1019</v>
      </c>
      <c r="D88" s="1124" t="s">
        <v>243</v>
      </c>
      <c r="E88" s="1167" t="s">
        <v>922</v>
      </c>
      <c r="F88" s="1125" t="s">
        <v>772</v>
      </c>
      <c r="G88" s="714">
        <f>G90+G89+G91+G92</f>
        <v>4933661</v>
      </c>
      <c r="H88" s="714">
        <f>H90+H89+H91+H92</f>
        <v>3541744</v>
      </c>
      <c r="I88" s="1168">
        <f>J88+M88</f>
        <v>1391917</v>
      </c>
      <c r="J88" s="1168">
        <f>K88+L88</f>
        <v>626378</v>
      </c>
      <c r="K88" s="1129">
        <v>626378</v>
      </c>
      <c r="L88" s="1129">
        <v>0</v>
      </c>
      <c r="M88" s="1168">
        <f>N88+Q88+T88</f>
        <v>765539</v>
      </c>
      <c r="N88" s="1168">
        <f>O88+P88</f>
        <v>0</v>
      </c>
      <c r="O88" s="1129">
        <v>0</v>
      </c>
      <c r="P88" s="1129">
        <v>0</v>
      </c>
      <c r="Q88" s="1168">
        <f>R88+S88</f>
        <v>69585</v>
      </c>
      <c r="R88" s="1129">
        <v>69585</v>
      </c>
      <c r="S88" s="1129">
        <v>0</v>
      </c>
      <c r="T88" s="1168">
        <f>U88+V88</f>
        <v>695954</v>
      </c>
      <c r="U88" s="1129">
        <v>695954</v>
      </c>
      <c r="V88" s="1129">
        <v>0</v>
      </c>
    </row>
    <row r="89" spans="1:22" s="715" customFormat="1" ht="14.25" hidden="1" customHeight="1">
      <c r="A89" s="1125"/>
      <c r="B89" s="1124"/>
      <c r="C89" s="1165"/>
      <c r="D89" s="1124"/>
      <c r="E89" s="1167"/>
      <c r="F89" s="1125"/>
      <c r="G89" s="714">
        <v>2220149</v>
      </c>
      <c r="H89" s="714">
        <v>1593771</v>
      </c>
      <c r="I89" s="1168"/>
      <c r="J89" s="1168"/>
      <c r="K89" s="1129"/>
      <c r="L89" s="1129"/>
      <c r="M89" s="1168"/>
      <c r="N89" s="1168"/>
      <c r="O89" s="1129"/>
      <c r="P89" s="1129"/>
      <c r="Q89" s="1168"/>
      <c r="R89" s="1129"/>
      <c r="S89" s="1129"/>
      <c r="T89" s="1168"/>
      <c r="U89" s="1129"/>
      <c r="V89" s="1129"/>
    </row>
    <row r="90" spans="1:22" s="715" customFormat="1" ht="14.25" hidden="1" customHeight="1">
      <c r="A90" s="1125"/>
      <c r="B90" s="1124"/>
      <c r="C90" s="1165"/>
      <c r="D90" s="1124"/>
      <c r="E90" s="1167"/>
      <c r="F90" s="1125"/>
      <c r="G90" s="714">
        <v>0</v>
      </c>
      <c r="H90" s="714">
        <v>0</v>
      </c>
      <c r="I90" s="716">
        <f>J90+M90</f>
        <v>0</v>
      </c>
      <c r="J90" s="716">
        <f>K90+L90</f>
        <v>0</v>
      </c>
      <c r="K90" s="694">
        <v>0</v>
      </c>
      <c r="L90" s="694">
        <v>0</v>
      </c>
      <c r="M90" s="716">
        <f>N90+Q90+T90</f>
        <v>0</v>
      </c>
      <c r="N90" s="716">
        <f>O90+P90</f>
        <v>0</v>
      </c>
      <c r="O90" s="694">
        <v>0</v>
      </c>
      <c r="P90" s="694">
        <v>0</v>
      </c>
      <c r="Q90" s="716">
        <f>R90+S90</f>
        <v>0</v>
      </c>
      <c r="R90" s="694">
        <v>0</v>
      </c>
      <c r="S90" s="694">
        <v>0</v>
      </c>
      <c r="T90" s="716">
        <f>U90+V90</f>
        <v>0</v>
      </c>
      <c r="U90" s="694">
        <v>0</v>
      </c>
      <c r="V90" s="694">
        <v>0</v>
      </c>
    </row>
    <row r="91" spans="1:22" s="715" customFormat="1" ht="14.25" hidden="1" customHeight="1">
      <c r="A91" s="1125"/>
      <c r="B91" s="1124"/>
      <c r="C91" s="1165"/>
      <c r="D91" s="1124"/>
      <c r="E91" s="1167"/>
      <c r="F91" s="1125"/>
      <c r="G91" s="714">
        <v>246683</v>
      </c>
      <c r="H91" s="714">
        <v>177098</v>
      </c>
      <c r="I91" s="1168">
        <f t="shared" ref="I91:V91" si="14">I88+I90</f>
        <v>1391917</v>
      </c>
      <c r="J91" s="1168">
        <f t="shared" si="14"/>
        <v>626378</v>
      </c>
      <c r="K91" s="1129">
        <f t="shared" si="14"/>
        <v>626378</v>
      </c>
      <c r="L91" s="1129">
        <f t="shared" si="14"/>
        <v>0</v>
      </c>
      <c r="M91" s="1168">
        <f t="shared" si="14"/>
        <v>765539</v>
      </c>
      <c r="N91" s="1168">
        <f t="shared" si="14"/>
        <v>0</v>
      </c>
      <c r="O91" s="1129">
        <f t="shared" si="14"/>
        <v>0</v>
      </c>
      <c r="P91" s="1129">
        <f t="shared" si="14"/>
        <v>0</v>
      </c>
      <c r="Q91" s="1168">
        <f t="shared" si="14"/>
        <v>69585</v>
      </c>
      <c r="R91" s="1129">
        <f t="shared" si="14"/>
        <v>69585</v>
      </c>
      <c r="S91" s="1129">
        <f t="shared" si="14"/>
        <v>0</v>
      </c>
      <c r="T91" s="1168">
        <f t="shared" si="14"/>
        <v>695954</v>
      </c>
      <c r="U91" s="1129">
        <f t="shared" si="14"/>
        <v>695954</v>
      </c>
      <c r="V91" s="1129">
        <f t="shared" si="14"/>
        <v>0</v>
      </c>
    </row>
    <row r="92" spans="1:22" s="715" customFormat="1" ht="14.25" hidden="1" customHeight="1">
      <c r="A92" s="1125"/>
      <c r="B92" s="1124"/>
      <c r="C92" s="1166"/>
      <c r="D92" s="1124"/>
      <c r="E92" s="1167"/>
      <c r="F92" s="1125"/>
      <c r="G92" s="714">
        <v>2466829</v>
      </c>
      <c r="H92" s="714">
        <v>1770875</v>
      </c>
      <c r="I92" s="1168"/>
      <c r="J92" s="1168"/>
      <c r="K92" s="1129"/>
      <c r="L92" s="1129"/>
      <c r="M92" s="1168"/>
      <c r="N92" s="1168"/>
      <c r="O92" s="1129"/>
      <c r="P92" s="1129"/>
      <c r="Q92" s="1168"/>
      <c r="R92" s="1129"/>
      <c r="S92" s="1129"/>
      <c r="T92" s="1168"/>
      <c r="U92" s="1129"/>
      <c r="V92" s="1129"/>
    </row>
    <row r="93" spans="1:22" s="715" customFormat="1" ht="15" customHeight="1">
      <c r="A93" s="1125">
        <v>2</v>
      </c>
      <c r="B93" s="1124" t="s">
        <v>1020</v>
      </c>
      <c r="C93" s="1164" t="s">
        <v>1021</v>
      </c>
      <c r="D93" s="1124" t="s">
        <v>243</v>
      </c>
      <c r="E93" s="1167" t="s">
        <v>784</v>
      </c>
      <c r="F93" s="1125" t="s">
        <v>776</v>
      </c>
      <c r="G93" s="714">
        <f>G95+G94+G96+G97</f>
        <v>31626097</v>
      </c>
      <c r="H93" s="714">
        <f>H95+H94+H96+H97</f>
        <v>3886028</v>
      </c>
      <c r="I93" s="1168">
        <f>J93+M93</f>
        <v>27740069</v>
      </c>
      <c r="J93" s="1168">
        <f>K93+L93</f>
        <v>14205301</v>
      </c>
      <c r="K93" s="1129">
        <v>0</v>
      </c>
      <c r="L93" s="1129">
        <v>14205301</v>
      </c>
      <c r="M93" s="1168">
        <f>N93+Q93+T93</f>
        <v>13534768</v>
      </c>
      <c r="N93" s="1168">
        <f>O93+P93</f>
        <v>0</v>
      </c>
      <c r="O93" s="1129">
        <v>0</v>
      </c>
      <c r="P93" s="1129">
        <v>0</v>
      </c>
      <c r="Q93" s="1168">
        <f>R93+S93</f>
        <v>13534768</v>
      </c>
      <c r="R93" s="1129">
        <v>754615</v>
      </c>
      <c r="S93" s="1129">
        <v>12780153</v>
      </c>
      <c r="T93" s="1168">
        <f>U93+V93</f>
        <v>0</v>
      </c>
      <c r="U93" s="1129">
        <v>0</v>
      </c>
      <c r="V93" s="1129">
        <v>0</v>
      </c>
    </row>
    <row r="94" spans="1:22" s="715" customFormat="1" ht="14.25" customHeight="1">
      <c r="A94" s="1125"/>
      <c r="B94" s="1124"/>
      <c r="C94" s="1165"/>
      <c r="D94" s="1124"/>
      <c r="E94" s="1167"/>
      <c r="F94" s="1125"/>
      <c r="G94" s="714">
        <v>14873864</v>
      </c>
      <c r="H94" s="714">
        <v>668563</v>
      </c>
      <c r="I94" s="1168"/>
      <c r="J94" s="1168"/>
      <c r="K94" s="1129"/>
      <c r="L94" s="1129"/>
      <c r="M94" s="1168"/>
      <c r="N94" s="1168"/>
      <c r="O94" s="1129"/>
      <c r="P94" s="1129"/>
      <c r="Q94" s="1168"/>
      <c r="R94" s="1129"/>
      <c r="S94" s="1129"/>
      <c r="T94" s="1168"/>
      <c r="U94" s="1129"/>
      <c r="V94" s="1129"/>
    </row>
    <row r="95" spans="1:22" s="715" customFormat="1" ht="14.25" customHeight="1">
      <c r="A95" s="1125"/>
      <c r="B95" s="1124"/>
      <c r="C95" s="1165"/>
      <c r="D95" s="1124"/>
      <c r="E95" s="1167"/>
      <c r="F95" s="1125"/>
      <c r="G95" s="714">
        <v>0</v>
      </c>
      <c r="H95" s="714">
        <v>0</v>
      </c>
      <c r="I95" s="716">
        <f>J95+M95</f>
        <v>-20016965</v>
      </c>
      <c r="J95" s="716">
        <f>K95+L95</f>
        <v>-8960179</v>
      </c>
      <c r="K95" s="694">
        <v>0</v>
      </c>
      <c r="L95" s="694">
        <v>-8960179</v>
      </c>
      <c r="M95" s="716">
        <f>N95+Q95+T95</f>
        <v>-11056786</v>
      </c>
      <c r="N95" s="716">
        <f>O95+P95</f>
        <v>0</v>
      </c>
      <c r="O95" s="694">
        <v>0</v>
      </c>
      <c r="P95" s="694">
        <v>0</v>
      </c>
      <c r="Q95" s="716">
        <f>R95+S95</f>
        <v>-11056786</v>
      </c>
      <c r="R95" s="694">
        <v>-666584</v>
      </c>
      <c r="S95" s="694">
        <v>-10390202</v>
      </c>
      <c r="T95" s="716">
        <f>U95+V95</f>
        <v>0</v>
      </c>
      <c r="U95" s="694">
        <v>0</v>
      </c>
      <c r="V95" s="694">
        <v>0</v>
      </c>
    </row>
    <row r="96" spans="1:22" s="715" customFormat="1" ht="14.25" customHeight="1">
      <c r="A96" s="1125"/>
      <c r="B96" s="1124"/>
      <c r="C96" s="1165"/>
      <c r="D96" s="1124"/>
      <c r="E96" s="1167"/>
      <c r="F96" s="1125"/>
      <c r="G96" s="714">
        <v>16752233</v>
      </c>
      <c r="H96" s="714">
        <v>3217465</v>
      </c>
      <c r="I96" s="1168">
        <f t="shared" ref="I96:V96" si="15">I93+I95</f>
        <v>7723104</v>
      </c>
      <c r="J96" s="1168">
        <f t="shared" si="15"/>
        <v>5245122</v>
      </c>
      <c r="K96" s="1129">
        <f t="shared" si="15"/>
        <v>0</v>
      </c>
      <c r="L96" s="1129">
        <f t="shared" si="15"/>
        <v>5245122</v>
      </c>
      <c r="M96" s="1168">
        <f t="shared" si="15"/>
        <v>2477982</v>
      </c>
      <c r="N96" s="1168">
        <f t="shared" si="15"/>
        <v>0</v>
      </c>
      <c r="O96" s="1129">
        <f t="shared" si="15"/>
        <v>0</v>
      </c>
      <c r="P96" s="1129">
        <f t="shared" si="15"/>
        <v>0</v>
      </c>
      <c r="Q96" s="1168">
        <f t="shared" si="15"/>
        <v>2477982</v>
      </c>
      <c r="R96" s="1129">
        <f t="shared" si="15"/>
        <v>88031</v>
      </c>
      <c r="S96" s="1129">
        <f t="shared" si="15"/>
        <v>2389951</v>
      </c>
      <c r="T96" s="1168">
        <f t="shared" si="15"/>
        <v>0</v>
      </c>
      <c r="U96" s="1129">
        <f t="shared" si="15"/>
        <v>0</v>
      </c>
      <c r="V96" s="1129">
        <f t="shared" si="15"/>
        <v>0</v>
      </c>
    </row>
    <row r="97" spans="1:22" s="715" customFormat="1" ht="14.25" customHeight="1">
      <c r="A97" s="1125"/>
      <c r="B97" s="1124"/>
      <c r="C97" s="1166"/>
      <c r="D97" s="1124"/>
      <c r="E97" s="1167"/>
      <c r="F97" s="1125"/>
      <c r="G97" s="714">
        <v>0</v>
      </c>
      <c r="H97" s="714">
        <v>0</v>
      </c>
      <c r="I97" s="1168"/>
      <c r="J97" s="1168"/>
      <c r="K97" s="1129"/>
      <c r="L97" s="1129"/>
      <c r="M97" s="1168"/>
      <c r="N97" s="1168"/>
      <c r="O97" s="1129"/>
      <c r="P97" s="1129"/>
      <c r="Q97" s="1168"/>
      <c r="R97" s="1129"/>
      <c r="S97" s="1129"/>
      <c r="T97" s="1168"/>
      <c r="U97" s="1129"/>
      <c r="V97" s="1129"/>
    </row>
    <row r="98" spans="1:22" s="715" customFormat="1" ht="14.25" hidden="1" customHeight="1">
      <c r="A98" s="1125">
        <v>17</v>
      </c>
      <c r="B98" s="1139" t="s">
        <v>1022</v>
      </c>
      <c r="C98" s="1170" t="s">
        <v>1023</v>
      </c>
      <c r="D98" s="1124" t="s">
        <v>1024</v>
      </c>
      <c r="E98" s="1167" t="s">
        <v>880</v>
      </c>
      <c r="F98" s="1125" t="s">
        <v>791</v>
      </c>
      <c r="G98" s="714">
        <f>G99+G100+G101+G102</f>
        <v>349982</v>
      </c>
      <c r="H98" s="714">
        <f>H99+H100+H101+H102</f>
        <v>327069</v>
      </c>
      <c r="I98" s="1168">
        <f>J98+M98</f>
        <v>22913</v>
      </c>
      <c r="J98" s="1168">
        <f>K98+L98</f>
        <v>22913</v>
      </c>
      <c r="K98" s="1129">
        <v>22913</v>
      </c>
      <c r="L98" s="1129">
        <v>0</v>
      </c>
      <c r="M98" s="1168">
        <f>N98+Q98+T98</f>
        <v>0</v>
      </c>
      <c r="N98" s="1168">
        <f>O98+P98</f>
        <v>0</v>
      </c>
      <c r="O98" s="1129">
        <v>0</v>
      </c>
      <c r="P98" s="1129">
        <v>0</v>
      </c>
      <c r="Q98" s="1168">
        <f>R98+S98</f>
        <v>0</v>
      </c>
      <c r="R98" s="1129">
        <v>0</v>
      </c>
      <c r="S98" s="1129">
        <v>0</v>
      </c>
      <c r="T98" s="1168">
        <f>U98+V98</f>
        <v>0</v>
      </c>
      <c r="U98" s="1129">
        <v>0</v>
      </c>
      <c r="V98" s="1129">
        <v>0</v>
      </c>
    </row>
    <row r="99" spans="1:22" s="715" customFormat="1" ht="14.25" hidden="1" customHeight="1">
      <c r="A99" s="1125"/>
      <c r="B99" s="1140"/>
      <c r="C99" s="1171"/>
      <c r="D99" s="1124"/>
      <c r="E99" s="1167"/>
      <c r="F99" s="1125"/>
      <c r="G99" s="714">
        <v>349982</v>
      </c>
      <c r="H99" s="714">
        <v>327069</v>
      </c>
      <c r="I99" s="1168"/>
      <c r="J99" s="1168"/>
      <c r="K99" s="1129"/>
      <c r="L99" s="1129"/>
      <c r="M99" s="1168"/>
      <c r="N99" s="1168"/>
      <c r="O99" s="1129"/>
      <c r="P99" s="1129"/>
      <c r="Q99" s="1168"/>
      <c r="R99" s="1129"/>
      <c r="S99" s="1129"/>
      <c r="T99" s="1168"/>
      <c r="U99" s="1129"/>
      <c r="V99" s="1129"/>
    </row>
    <row r="100" spans="1:22" s="715" customFormat="1" ht="14.25" hidden="1" customHeight="1">
      <c r="A100" s="1125"/>
      <c r="B100" s="1140"/>
      <c r="C100" s="1171"/>
      <c r="D100" s="1124"/>
      <c r="E100" s="1167"/>
      <c r="F100" s="1125"/>
      <c r="G100" s="714">
        <v>0</v>
      </c>
      <c r="H100" s="714">
        <v>0</v>
      </c>
      <c r="I100" s="716">
        <f>J100+M100</f>
        <v>0</v>
      </c>
      <c r="J100" s="716">
        <f>K100+L100</f>
        <v>0</v>
      </c>
      <c r="K100" s="694">
        <v>0</v>
      </c>
      <c r="L100" s="694">
        <v>0</v>
      </c>
      <c r="M100" s="716">
        <f>N100+Q100+T100</f>
        <v>0</v>
      </c>
      <c r="N100" s="716">
        <f>O100+P100</f>
        <v>0</v>
      </c>
      <c r="O100" s="694">
        <v>0</v>
      </c>
      <c r="P100" s="694">
        <v>0</v>
      </c>
      <c r="Q100" s="716">
        <f>R100+S100</f>
        <v>0</v>
      </c>
      <c r="R100" s="694">
        <v>0</v>
      </c>
      <c r="S100" s="694">
        <v>0</v>
      </c>
      <c r="T100" s="716">
        <f>U100+V100</f>
        <v>0</v>
      </c>
      <c r="U100" s="694">
        <v>0</v>
      </c>
      <c r="V100" s="694">
        <v>0</v>
      </c>
    </row>
    <row r="101" spans="1:22" s="715" customFormat="1" ht="14.25" hidden="1" customHeight="1">
      <c r="A101" s="1125"/>
      <c r="B101" s="1140"/>
      <c r="C101" s="1171"/>
      <c r="D101" s="1124"/>
      <c r="E101" s="1167"/>
      <c r="F101" s="1125"/>
      <c r="G101" s="714">
        <v>0</v>
      </c>
      <c r="H101" s="714">
        <v>0</v>
      </c>
      <c r="I101" s="1168">
        <f t="shared" ref="I101:V101" si="16">I98+I100</f>
        <v>22913</v>
      </c>
      <c r="J101" s="1168">
        <f t="shared" si="16"/>
        <v>22913</v>
      </c>
      <c r="K101" s="1129">
        <f t="shared" si="16"/>
        <v>22913</v>
      </c>
      <c r="L101" s="1129">
        <f t="shared" si="16"/>
        <v>0</v>
      </c>
      <c r="M101" s="1168">
        <f t="shared" si="16"/>
        <v>0</v>
      </c>
      <c r="N101" s="1168">
        <f t="shared" si="16"/>
        <v>0</v>
      </c>
      <c r="O101" s="1129">
        <f t="shared" si="16"/>
        <v>0</v>
      </c>
      <c r="P101" s="1129">
        <f t="shared" si="16"/>
        <v>0</v>
      </c>
      <c r="Q101" s="1168">
        <f t="shared" si="16"/>
        <v>0</v>
      </c>
      <c r="R101" s="1129">
        <f t="shared" si="16"/>
        <v>0</v>
      </c>
      <c r="S101" s="1129">
        <f t="shared" si="16"/>
        <v>0</v>
      </c>
      <c r="T101" s="1168">
        <f t="shared" si="16"/>
        <v>0</v>
      </c>
      <c r="U101" s="1129">
        <f t="shared" si="16"/>
        <v>0</v>
      </c>
      <c r="V101" s="1129">
        <f t="shared" si="16"/>
        <v>0</v>
      </c>
    </row>
    <row r="102" spans="1:22" s="715" customFormat="1" ht="14.25" hidden="1" customHeight="1">
      <c r="A102" s="1125"/>
      <c r="B102" s="1141"/>
      <c r="C102" s="1172"/>
      <c r="D102" s="1124"/>
      <c r="E102" s="1167"/>
      <c r="F102" s="1125"/>
      <c r="G102" s="714">
        <v>0</v>
      </c>
      <c r="H102" s="714">
        <v>0</v>
      </c>
      <c r="I102" s="1168"/>
      <c r="J102" s="1168"/>
      <c r="K102" s="1129"/>
      <c r="L102" s="1129"/>
      <c r="M102" s="1168"/>
      <c r="N102" s="1168"/>
      <c r="O102" s="1129"/>
      <c r="P102" s="1129"/>
      <c r="Q102" s="1168"/>
      <c r="R102" s="1129"/>
      <c r="S102" s="1129"/>
      <c r="T102" s="1168"/>
      <c r="U102" s="1129"/>
      <c r="V102" s="1129"/>
    </row>
    <row r="103" spans="1:22" s="715" customFormat="1" ht="13.5" hidden="1" customHeight="1">
      <c r="A103" s="1125">
        <v>5</v>
      </c>
      <c r="B103" s="1139" t="s">
        <v>1022</v>
      </c>
      <c r="C103" s="1170" t="s">
        <v>1025</v>
      </c>
      <c r="D103" s="1124" t="s">
        <v>1024</v>
      </c>
      <c r="E103" s="1167" t="s">
        <v>880</v>
      </c>
      <c r="F103" s="1125" t="s">
        <v>851</v>
      </c>
      <c r="G103" s="714">
        <f>G104+G105+G106+G107</f>
        <v>620615</v>
      </c>
      <c r="H103" s="714">
        <f>H104+H105+H106+H107</f>
        <v>0</v>
      </c>
      <c r="I103" s="1168">
        <f>J103+M103</f>
        <v>343418</v>
      </c>
      <c r="J103" s="1168">
        <f>K103+L103</f>
        <v>343418</v>
      </c>
      <c r="K103" s="1129">
        <v>343418</v>
      </c>
      <c r="L103" s="1129">
        <v>0</v>
      </c>
      <c r="M103" s="1168">
        <f>N103+Q103+T103</f>
        <v>0</v>
      </c>
      <c r="N103" s="1168">
        <f>O103+P103</f>
        <v>0</v>
      </c>
      <c r="O103" s="1129">
        <v>0</v>
      </c>
      <c r="P103" s="1129">
        <v>0</v>
      </c>
      <c r="Q103" s="1168">
        <f>R103+S103</f>
        <v>0</v>
      </c>
      <c r="R103" s="1129">
        <v>0</v>
      </c>
      <c r="S103" s="1129">
        <v>0</v>
      </c>
      <c r="T103" s="1168">
        <f>U103+V103</f>
        <v>0</v>
      </c>
      <c r="U103" s="1129">
        <v>0</v>
      </c>
      <c r="V103" s="1129">
        <v>0</v>
      </c>
    </row>
    <row r="104" spans="1:22" s="715" customFormat="1" ht="13.5" hidden="1" customHeight="1">
      <c r="A104" s="1125"/>
      <c r="B104" s="1140"/>
      <c r="C104" s="1171"/>
      <c r="D104" s="1124"/>
      <c r="E104" s="1167"/>
      <c r="F104" s="1125"/>
      <c r="G104" s="714">
        <v>620615</v>
      </c>
      <c r="H104" s="714">
        <v>0</v>
      </c>
      <c r="I104" s="1168"/>
      <c r="J104" s="1168"/>
      <c r="K104" s="1129"/>
      <c r="L104" s="1129"/>
      <c r="M104" s="1168"/>
      <c r="N104" s="1168"/>
      <c r="O104" s="1129"/>
      <c r="P104" s="1129"/>
      <c r="Q104" s="1168"/>
      <c r="R104" s="1129"/>
      <c r="S104" s="1129"/>
      <c r="T104" s="1168"/>
      <c r="U104" s="1129"/>
      <c r="V104" s="1129"/>
    </row>
    <row r="105" spans="1:22" s="715" customFormat="1" ht="13.5" hidden="1" customHeight="1">
      <c r="A105" s="1125"/>
      <c r="B105" s="1140"/>
      <c r="C105" s="1171"/>
      <c r="D105" s="1124"/>
      <c r="E105" s="1167"/>
      <c r="F105" s="1125"/>
      <c r="G105" s="714">
        <v>0</v>
      </c>
      <c r="H105" s="714">
        <v>0</v>
      </c>
      <c r="I105" s="716">
        <f>J105+M105</f>
        <v>0</v>
      </c>
      <c r="J105" s="716">
        <f>K105+L105</f>
        <v>0</v>
      </c>
      <c r="K105" s="694">
        <v>0</v>
      </c>
      <c r="L105" s="694">
        <v>0</v>
      </c>
      <c r="M105" s="716">
        <f>N105+Q105+T105</f>
        <v>0</v>
      </c>
      <c r="N105" s="716">
        <f>O105+P105</f>
        <v>0</v>
      </c>
      <c r="O105" s="694">
        <v>0</v>
      </c>
      <c r="P105" s="694">
        <v>0</v>
      </c>
      <c r="Q105" s="716">
        <f>R105+S105</f>
        <v>0</v>
      </c>
      <c r="R105" s="694">
        <v>0</v>
      </c>
      <c r="S105" s="694">
        <v>0</v>
      </c>
      <c r="T105" s="716">
        <f>U105+V105</f>
        <v>0</v>
      </c>
      <c r="U105" s="694">
        <v>0</v>
      </c>
      <c r="V105" s="694">
        <v>0</v>
      </c>
    </row>
    <row r="106" spans="1:22" s="715" customFormat="1" ht="13.5" hidden="1" customHeight="1">
      <c r="A106" s="1125"/>
      <c r="B106" s="1140"/>
      <c r="C106" s="1171"/>
      <c r="D106" s="1124"/>
      <c r="E106" s="1167"/>
      <c r="F106" s="1125"/>
      <c r="G106" s="714">
        <v>0</v>
      </c>
      <c r="H106" s="714">
        <v>0</v>
      </c>
      <c r="I106" s="1168">
        <f t="shared" ref="I106:V106" si="17">I103+I105</f>
        <v>343418</v>
      </c>
      <c r="J106" s="1168">
        <f t="shared" si="17"/>
        <v>343418</v>
      </c>
      <c r="K106" s="1129">
        <f t="shared" si="17"/>
        <v>343418</v>
      </c>
      <c r="L106" s="1129">
        <f t="shared" si="17"/>
        <v>0</v>
      </c>
      <c r="M106" s="1168">
        <f t="shared" si="17"/>
        <v>0</v>
      </c>
      <c r="N106" s="1168">
        <f t="shared" si="17"/>
        <v>0</v>
      </c>
      <c r="O106" s="1129">
        <f t="shared" si="17"/>
        <v>0</v>
      </c>
      <c r="P106" s="1129">
        <f t="shared" si="17"/>
        <v>0</v>
      </c>
      <c r="Q106" s="1168">
        <f t="shared" si="17"/>
        <v>0</v>
      </c>
      <c r="R106" s="1129">
        <f t="shared" si="17"/>
        <v>0</v>
      </c>
      <c r="S106" s="1129">
        <f t="shared" si="17"/>
        <v>0</v>
      </c>
      <c r="T106" s="1168">
        <f t="shared" si="17"/>
        <v>0</v>
      </c>
      <c r="U106" s="1129">
        <f t="shared" si="17"/>
        <v>0</v>
      </c>
      <c r="V106" s="1129">
        <f t="shared" si="17"/>
        <v>0</v>
      </c>
    </row>
    <row r="107" spans="1:22" s="715" customFormat="1" ht="13.5" hidden="1" customHeight="1">
      <c r="A107" s="1125"/>
      <c r="B107" s="1141"/>
      <c r="C107" s="1172"/>
      <c r="D107" s="1124"/>
      <c r="E107" s="1167"/>
      <c r="F107" s="1125"/>
      <c r="G107" s="714">
        <v>0</v>
      </c>
      <c r="H107" s="714">
        <v>0</v>
      </c>
      <c r="I107" s="1168"/>
      <c r="J107" s="1168"/>
      <c r="K107" s="1129"/>
      <c r="L107" s="1129"/>
      <c r="M107" s="1168"/>
      <c r="N107" s="1168"/>
      <c r="O107" s="1129"/>
      <c r="P107" s="1129"/>
      <c r="Q107" s="1168"/>
      <c r="R107" s="1129"/>
      <c r="S107" s="1129"/>
      <c r="T107" s="1168"/>
      <c r="U107" s="1129"/>
      <c r="V107" s="1129"/>
    </row>
    <row r="108" spans="1:22" s="715" customFormat="1" ht="14.25" hidden="1" customHeight="1">
      <c r="A108" s="1125">
        <v>6</v>
      </c>
      <c r="B108" s="1139" t="s">
        <v>1026</v>
      </c>
      <c r="C108" s="1170" t="s">
        <v>1027</v>
      </c>
      <c r="D108" s="1124" t="s">
        <v>243</v>
      </c>
      <c r="E108" s="1167" t="s">
        <v>1028</v>
      </c>
      <c r="F108" s="1125" t="s">
        <v>758</v>
      </c>
      <c r="G108" s="714">
        <f>G109+G110+G111+G112</f>
        <v>489975</v>
      </c>
      <c r="H108" s="714">
        <f>H109+H110+H111+H112</f>
        <v>32897</v>
      </c>
      <c r="I108" s="1168">
        <f>J108+M108</f>
        <v>134206</v>
      </c>
      <c r="J108" s="1168">
        <f>K108+L108</f>
        <v>114074</v>
      </c>
      <c r="K108" s="1129">
        <v>114074</v>
      </c>
      <c r="L108" s="1129">
        <v>0</v>
      </c>
      <c r="M108" s="1168">
        <f>N108+Q108+T108</f>
        <v>20132</v>
      </c>
      <c r="N108" s="1168">
        <f>O108+P108</f>
        <v>0</v>
      </c>
      <c r="O108" s="1129">
        <v>0</v>
      </c>
      <c r="P108" s="1129">
        <v>0</v>
      </c>
      <c r="Q108" s="1168">
        <f>R108+S108</f>
        <v>20132</v>
      </c>
      <c r="R108" s="1129">
        <v>20132</v>
      </c>
      <c r="S108" s="1129">
        <v>0</v>
      </c>
      <c r="T108" s="1168">
        <f>U108+V108</f>
        <v>0</v>
      </c>
      <c r="U108" s="1129">
        <v>0</v>
      </c>
      <c r="V108" s="1129">
        <v>0</v>
      </c>
    </row>
    <row r="109" spans="1:22" s="715" customFormat="1" ht="14.25" hidden="1" customHeight="1">
      <c r="A109" s="1125"/>
      <c r="B109" s="1140"/>
      <c r="C109" s="1171"/>
      <c r="D109" s="1124"/>
      <c r="E109" s="1167"/>
      <c r="F109" s="1125"/>
      <c r="G109" s="714">
        <v>416478</v>
      </c>
      <c r="H109" s="714">
        <v>27962</v>
      </c>
      <c r="I109" s="1168"/>
      <c r="J109" s="1168"/>
      <c r="K109" s="1129"/>
      <c r="L109" s="1129"/>
      <c r="M109" s="1168"/>
      <c r="N109" s="1168"/>
      <c r="O109" s="1129"/>
      <c r="P109" s="1129"/>
      <c r="Q109" s="1168"/>
      <c r="R109" s="1129"/>
      <c r="S109" s="1129"/>
      <c r="T109" s="1168"/>
      <c r="U109" s="1129"/>
      <c r="V109" s="1129"/>
    </row>
    <row r="110" spans="1:22" s="715" customFormat="1" ht="14.25" hidden="1" customHeight="1">
      <c r="A110" s="1125"/>
      <c r="B110" s="1140"/>
      <c r="C110" s="1171"/>
      <c r="D110" s="1124"/>
      <c r="E110" s="1167"/>
      <c r="F110" s="1125"/>
      <c r="G110" s="714">
        <v>0</v>
      </c>
      <c r="H110" s="714">
        <v>0</v>
      </c>
      <c r="I110" s="716">
        <f>J110+M110</f>
        <v>0</v>
      </c>
      <c r="J110" s="716">
        <f>K110+L110</f>
        <v>0</v>
      </c>
      <c r="K110" s="694">
        <v>0</v>
      </c>
      <c r="L110" s="694">
        <v>0</v>
      </c>
      <c r="M110" s="716">
        <f>N110+Q110+T110</f>
        <v>0</v>
      </c>
      <c r="N110" s="716">
        <f>O110+P110</f>
        <v>0</v>
      </c>
      <c r="O110" s="694">
        <v>0</v>
      </c>
      <c r="P110" s="694">
        <v>0</v>
      </c>
      <c r="Q110" s="716">
        <f>R110+S110</f>
        <v>0</v>
      </c>
      <c r="R110" s="694">
        <v>0</v>
      </c>
      <c r="S110" s="694">
        <v>0</v>
      </c>
      <c r="T110" s="716">
        <f>U110+V110</f>
        <v>0</v>
      </c>
      <c r="U110" s="694">
        <v>0</v>
      </c>
      <c r="V110" s="694">
        <v>0</v>
      </c>
    </row>
    <row r="111" spans="1:22" s="715" customFormat="1" ht="14.25" hidden="1" customHeight="1">
      <c r="A111" s="1125"/>
      <c r="B111" s="1140"/>
      <c r="C111" s="1171"/>
      <c r="D111" s="1124"/>
      <c r="E111" s="1167"/>
      <c r="F111" s="1125"/>
      <c r="G111" s="714">
        <v>73497</v>
      </c>
      <c r="H111" s="714">
        <v>4935</v>
      </c>
      <c r="I111" s="1168">
        <f t="shared" ref="I111:V111" si="18">I108+I110</f>
        <v>134206</v>
      </c>
      <c r="J111" s="1168">
        <f t="shared" si="18"/>
        <v>114074</v>
      </c>
      <c r="K111" s="1129">
        <f t="shared" si="18"/>
        <v>114074</v>
      </c>
      <c r="L111" s="1129">
        <f t="shared" si="18"/>
        <v>0</v>
      </c>
      <c r="M111" s="1168">
        <f t="shared" si="18"/>
        <v>20132</v>
      </c>
      <c r="N111" s="1168">
        <f t="shared" si="18"/>
        <v>0</v>
      </c>
      <c r="O111" s="1129">
        <f t="shared" si="18"/>
        <v>0</v>
      </c>
      <c r="P111" s="1129">
        <f t="shared" si="18"/>
        <v>0</v>
      </c>
      <c r="Q111" s="1168">
        <f t="shared" si="18"/>
        <v>20132</v>
      </c>
      <c r="R111" s="1129">
        <f t="shared" si="18"/>
        <v>20132</v>
      </c>
      <c r="S111" s="1129">
        <f t="shared" si="18"/>
        <v>0</v>
      </c>
      <c r="T111" s="1168">
        <f t="shared" si="18"/>
        <v>0</v>
      </c>
      <c r="U111" s="1129">
        <f t="shared" si="18"/>
        <v>0</v>
      </c>
      <c r="V111" s="1129">
        <f t="shared" si="18"/>
        <v>0</v>
      </c>
    </row>
    <row r="112" spans="1:22" s="715" customFormat="1" ht="14.25" hidden="1" customHeight="1">
      <c r="A112" s="1125"/>
      <c r="B112" s="1141"/>
      <c r="C112" s="1172"/>
      <c r="D112" s="1124"/>
      <c r="E112" s="1167"/>
      <c r="F112" s="1125"/>
      <c r="G112" s="714">
        <v>0</v>
      </c>
      <c r="H112" s="714">
        <v>0</v>
      </c>
      <c r="I112" s="1168"/>
      <c r="J112" s="1168"/>
      <c r="K112" s="1129"/>
      <c r="L112" s="1129"/>
      <c r="M112" s="1168"/>
      <c r="N112" s="1168"/>
      <c r="O112" s="1129"/>
      <c r="P112" s="1129"/>
      <c r="Q112" s="1168"/>
      <c r="R112" s="1129"/>
      <c r="S112" s="1129"/>
      <c r="T112" s="1168"/>
      <c r="U112" s="1129"/>
      <c r="V112" s="1129"/>
    </row>
    <row r="113" spans="1:22" s="715" customFormat="1" ht="14.25" hidden="1" customHeight="1">
      <c r="A113" s="1125">
        <v>7</v>
      </c>
      <c r="B113" s="1139" t="s">
        <v>1029</v>
      </c>
      <c r="C113" s="1170" t="s">
        <v>1030</v>
      </c>
      <c r="D113" s="1124" t="s">
        <v>243</v>
      </c>
      <c r="E113" s="1167" t="s">
        <v>922</v>
      </c>
      <c r="F113" s="1125" t="s">
        <v>772</v>
      </c>
      <c r="G113" s="714">
        <f>G114+G115+G116+G117</f>
        <v>588245</v>
      </c>
      <c r="H113" s="714">
        <f>H114+H115+H116+H117</f>
        <v>349000</v>
      </c>
      <c r="I113" s="1168">
        <f>J113+M113</f>
        <v>239245</v>
      </c>
      <c r="J113" s="1168">
        <f>K113+L113</f>
        <v>203355</v>
      </c>
      <c r="K113" s="1129">
        <v>203355</v>
      </c>
      <c r="L113" s="1129">
        <v>0</v>
      </c>
      <c r="M113" s="1168">
        <f>N113+Q113+T113</f>
        <v>35890</v>
      </c>
      <c r="N113" s="1168">
        <f>O113+P113</f>
        <v>0</v>
      </c>
      <c r="O113" s="1129">
        <v>0</v>
      </c>
      <c r="P113" s="1129">
        <v>0</v>
      </c>
      <c r="Q113" s="1168">
        <f>R113+S113</f>
        <v>35890</v>
      </c>
      <c r="R113" s="1129">
        <v>35890</v>
      </c>
      <c r="S113" s="1129">
        <v>0</v>
      </c>
      <c r="T113" s="1168">
        <f>U113+V113</f>
        <v>0</v>
      </c>
      <c r="U113" s="1129">
        <v>0</v>
      </c>
      <c r="V113" s="1129">
        <v>0</v>
      </c>
    </row>
    <row r="114" spans="1:22" s="715" customFormat="1" ht="14.25" hidden="1" customHeight="1">
      <c r="A114" s="1125"/>
      <c r="B114" s="1140"/>
      <c r="C114" s="1171"/>
      <c r="D114" s="1124"/>
      <c r="E114" s="1167"/>
      <c r="F114" s="1125"/>
      <c r="G114" s="714">
        <v>500005</v>
      </c>
      <c r="H114" s="714">
        <v>296650</v>
      </c>
      <c r="I114" s="1168"/>
      <c r="J114" s="1168"/>
      <c r="K114" s="1129"/>
      <c r="L114" s="1129"/>
      <c r="M114" s="1168"/>
      <c r="N114" s="1168"/>
      <c r="O114" s="1129"/>
      <c r="P114" s="1129"/>
      <c r="Q114" s="1168"/>
      <c r="R114" s="1129"/>
      <c r="S114" s="1129"/>
      <c r="T114" s="1168"/>
      <c r="U114" s="1129"/>
      <c r="V114" s="1129"/>
    </row>
    <row r="115" spans="1:22" s="715" customFormat="1" ht="14.25" hidden="1" customHeight="1">
      <c r="A115" s="1125"/>
      <c r="B115" s="1140"/>
      <c r="C115" s="1171"/>
      <c r="D115" s="1124"/>
      <c r="E115" s="1167"/>
      <c r="F115" s="1125"/>
      <c r="G115" s="714">
        <v>0</v>
      </c>
      <c r="H115" s="714">
        <v>0</v>
      </c>
      <c r="I115" s="716">
        <f>J115+M115</f>
        <v>0</v>
      </c>
      <c r="J115" s="716">
        <f>K115+L115</f>
        <v>0</v>
      </c>
      <c r="K115" s="694">
        <v>0</v>
      </c>
      <c r="L115" s="694">
        <v>0</v>
      </c>
      <c r="M115" s="716">
        <f>N115+Q115+T115</f>
        <v>0</v>
      </c>
      <c r="N115" s="716">
        <f>O115+P115</f>
        <v>0</v>
      </c>
      <c r="O115" s="694">
        <v>0</v>
      </c>
      <c r="P115" s="694">
        <v>0</v>
      </c>
      <c r="Q115" s="716">
        <f>R115+S115</f>
        <v>0</v>
      </c>
      <c r="R115" s="694">
        <v>0</v>
      </c>
      <c r="S115" s="694">
        <v>0</v>
      </c>
      <c r="T115" s="716">
        <f>U115+V115</f>
        <v>0</v>
      </c>
      <c r="U115" s="694">
        <v>0</v>
      </c>
      <c r="V115" s="694">
        <v>0</v>
      </c>
    </row>
    <row r="116" spans="1:22" s="715" customFormat="1" ht="14.25" hidden="1" customHeight="1">
      <c r="A116" s="1125"/>
      <c r="B116" s="1140"/>
      <c r="C116" s="1171"/>
      <c r="D116" s="1124"/>
      <c r="E116" s="1167"/>
      <c r="F116" s="1125"/>
      <c r="G116" s="714">
        <v>88240</v>
      </c>
      <c r="H116" s="714">
        <v>52350</v>
      </c>
      <c r="I116" s="1168">
        <f t="shared" ref="I116:V116" si="19">I113+I115</f>
        <v>239245</v>
      </c>
      <c r="J116" s="1168">
        <f t="shared" si="19"/>
        <v>203355</v>
      </c>
      <c r="K116" s="1129">
        <f t="shared" si="19"/>
        <v>203355</v>
      </c>
      <c r="L116" s="1129">
        <f t="shared" si="19"/>
        <v>0</v>
      </c>
      <c r="M116" s="1168">
        <f t="shared" si="19"/>
        <v>35890</v>
      </c>
      <c r="N116" s="1168">
        <f t="shared" si="19"/>
        <v>0</v>
      </c>
      <c r="O116" s="1129">
        <f t="shared" si="19"/>
        <v>0</v>
      </c>
      <c r="P116" s="1129">
        <f t="shared" si="19"/>
        <v>0</v>
      </c>
      <c r="Q116" s="1168">
        <f t="shared" si="19"/>
        <v>35890</v>
      </c>
      <c r="R116" s="1129">
        <f t="shared" si="19"/>
        <v>35890</v>
      </c>
      <c r="S116" s="1129">
        <f t="shared" si="19"/>
        <v>0</v>
      </c>
      <c r="T116" s="1168">
        <f t="shared" si="19"/>
        <v>0</v>
      </c>
      <c r="U116" s="1129">
        <f t="shared" si="19"/>
        <v>0</v>
      </c>
      <c r="V116" s="1129">
        <f t="shared" si="19"/>
        <v>0</v>
      </c>
    </row>
    <row r="117" spans="1:22" s="715" customFormat="1" ht="14.25" hidden="1" customHeight="1">
      <c r="A117" s="1125"/>
      <c r="B117" s="1141"/>
      <c r="C117" s="1172"/>
      <c r="D117" s="1124"/>
      <c r="E117" s="1167"/>
      <c r="F117" s="1125"/>
      <c r="G117" s="714">
        <v>0</v>
      </c>
      <c r="H117" s="714">
        <v>0</v>
      </c>
      <c r="I117" s="1168"/>
      <c r="J117" s="1168"/>
      <c r="K117" s="1129"/>
      <c r="L117" s="1129"/>
      <c r="M117" s="1168"/>
      <c r="N117" s="1168"/>
      <c r="O117" s="1129"/>
      <c r="P117" s="1129"/>
      <c r="Q117" s="1168"/>
      <c r="R117" s="1129"/>
      <c r="S117" s="1129"/>
      <c r="T117" s="1168"/>
      <c r="U117" s="1129"/>
      <c r="V117" s="1129"/>
    </row>
    <row r="118" spans="1:22" s="715" customFormat="1" ht="14.25" hidden="1" customHeight="1">
      <c r="A118" s="1125">
        <v>8</v>
      </c>
      <c r="B118" s="1139" t="s">
        <v>1029</v>
      </c>
      <c r="C118" s="1170" t="s">
        <v>1031</v>
      </c>
      <c r="D118" s="1124" t="s">
        <v>243</v>
      </c>
      <c r="E118" s="1167" t="s">
        <v>784</v>
      </c>
      <c r="F118" s="1125" t="s">
        <v>772</v>
      </c>
      <c r="G118" s="714">
        <f>G119+G120+G121+G122</f>
        <v>633527</v>
      </c>
      <c r="H118" s="714">
        <f>H119+H120+H121+H122</f>
        <v>504248</v>
      </c>
      <c r="I118" s="1168">
        <f>J118+M118</f>
        <v>129279</v>
      </c>
      <c r="J118" s="1168">
        <f>K118+L118</f>
        <v>109885</v>
      </c>
      <c r="K118" s="1129">
        <v>109885</v>
      </c>
      <c r="L118" s="1129">
        <v>0</v>
      </c>
      <c r="M118" s="1168">
        <f>N118+Q118+T118</f>
        <v>19394</v>
      </c>
      <c r="N118" s="1168">
        <f>O118+P118</f>
        <v>0</v>
      </c>
      <c r="O118" s="1129">
        <v>0</v>
      </c>
      <c r="P118" s="1129">
        <v>0</v>
      </c>
      <c r="Q118" s="1168">
        <f>R118+S118</f>
        <v>19394</v>
      </c>
      <c r="R118" s="1129">
        <v>19394</v>
      </c>
      <c r="S118" s="1129">
        <v>0</v>
      </c>
      <c r="T118" s="1168">
        <f>U118+V118</f>
        <v>0</v>
      </c>
      <c r="U118" s="1129">
        <v>0</v>
      </c>
      <c r="V118" s="1129">
        <v>0</v>
      </c>
    </row>
    <row r="119" spans="1:22" s="715" customFormat="1" ht="14.25" hidden="1" customHeight="1">
      <c r="A119" s="1125"/>
      <c r="B119" s="1140"/>
      <c r="C119" s="1171"/>
      <c r="D119" s="1124"/>
      <c r="E119" s="1167"/>
      <c r="F119" s="1125"/>
      <c r="G119" s="714">
        <v>538496</v>
      </c>
      <c r="H119" s="714">
        <v>428611</v>
      </c>
      <c r="I119" s="1168"/>
      <c r="J119" s="1168"/>
      <c r="K119" s="1129"/>
      <c r="L119" s="1129"/>
      <c r="M119" s="1168"/>
      <c r="N119" s="1168"/>
      <c r="O119" s="1129"/>
      <c r="P119" s="1129"/>
      <c r="Q119" s="1168"/>
      <c r="R119" s="1129"/>
      <c r="S119" s="1129"/>
      <c r="T119" s="1168"/>
      <c r="U119" s="1129"/>
      <c r="V119" s="1129"/>
    </row>
    <row r="120" spans="1:22" s="715" customFormat="1" ht="14.25" hidden="1" customHeight="1">
      <c r="A120" s="1125"/>
      <c r="B120" s="1140"/>
      <c r="C120" s="1171"/>
      <c r="D120" s="1124"/>
      <c r="E120" s="1167"/>
      <c r="F120" s="1125"/>
      <c r="G120" s="714">
        <v>0</v>
      </c>
      <c r="H120" s="714">
        <v>0</v>
      </c>
      <c r="I120" s="716">
        <f>J120+M120</f>
        <v>0</v>
      </c>
      <c r="J120" s="716">
        <f>K120+L120</f>
        <v>0</v>
      </c>
      <c r="K120" s="694">
        <v>0</v>
      </c>
      <c r="L120" s="694">
        <v>0</v>
      </c>
      <c r="M120" s="716">
        <f>N120+Q120+T120</f>
        <v>0</v>
      </c>
      <c r="N120" s="716">
        <f>O120+P120</f>
        <v>0</v>
      </c>
      <c r="O120" s="694">
        <v>0</v>
      </c>
      <c r="P120" s="694">
        <v>0</v>
      </c>
      <c r="Q120" s="716">
        <f>R120+S120</f>
        <v>0</v>
      </c>
      <c r="R120" s="694">
        <v>0</v>
      </c>
      <c r="S120" s="694">
        <v>0</v>
      </c>
      <c r="T120" s="716">
        <f>U120+V120</f>
        <v>0</v>
      </c>
      <c r="U120" s="694">
        <v>0</v>
      </c>
      <c r="V120" s="694">
        <v>0</v>
      </c>
    </row>
    <row r="121" spans="1:22" s="715" customFormat="1" ht="14.25" hidden="1" customHeight="1">
      <c r="A121" s="1125"/>
      <c r="B121" s="1140"/>
      <c r="C121" s="1171"/>
      <c r="D121" s="1124"/>
      <c r="E121" s="1167"/>
      <c r="F121" s="1125"/>
      <c r="G121" s="714">
        <v>95031</v>
      </c>
      <c r="H121" s="714">
        <v>75637</v>
      </c>
      <c r="I121" s="1168">
        <f t="shared" ref="I121:V121" si="20">I118+I120</f>
        <v>129279</v>
      </c>
      <c r="J121" s="1168">
        <f t="shared" si="20"/>
        <v>109885</v>
      </c>
      <c r="K121" s="1129">
        <f t="shared" si="20"/>
        <v>109885</v>
      </c>
      <c r="L121" s="1129">
        <f t="shared" si="20"/>
        <v>0</v>
      </c>
      <c r="M121" s="1168">
        <f t="shared" si="20"/>
        <v>19394</v>
      </c>
      <c r="N121" s="1168">
        <f t="shared" si="20"/>
        <v>0</v>
      </c>
      <c r="O121" s="1129">
        <f t="shared" si="20"/>
        <v>0</v>
      </c>
      <c r="P121" s="1129">
        <f t="shared" si="20"/>
        <v>0</v>
      </c>
      <c r="Q121" s="1168">
        <f t="shared" si="20"/>
        <v>19394</v>
      </c>
      <c r="R121" s="1129">
        <f t="shared" si="20"/>
        <v>19394</v>
      </c>
      <c r="S121" s="1129">
        <f t="shared" si="20"/>
        <v>0</v>
      </c>
      <c r="T121" s="1168">
        <f t="shared" si="20"/>
        <v>0</v>
      </c>
      <c r="U121" s="1129">
        <f t="shared" si="20"/>
        <v>0</v>
      </c>
      <c r="V121" s="1129">
        <f t="shared" si="20"/>
        <v>0</v>
      </c>
    </row>
    <row r="122" spans="1:22" s="715" customFormat="1" ht="14.25" hidden="1" customHeight="1">
      <c r="A122" s="1125"/>
      <c r="B122" s="1141"/>
      <c r="C122" s="1172"/>
      <c r="D122" s="1124"/>
      <c r="E122" s="1167"/>
      <c r="F122" s="1125"/>
      <c r="G122" s="714">
        <v>0</v>
      </c>
      <c r="H122" s="714">
        <v>0</v>
      </c>
      <c r="I122" s="1168"/>
      <c r="J122" s="1168"/>
      <c r="K122" s="1129"/>
      <c r="L122" s="1129"/>
      <c r="M122" s="1168"/>
      <c r="N122" s="1168"/>
      <c r="O122" s="1129"/>
      <c r="P122" s="1129"/>
      <c r="Q122" s="1168"/>
      <c r="R122" s="1129"/>
      <c r="S122" s="1129"/>
      <c r="T122" s="1168"/>
      <c r="U122" s="1129"/>
      <c r="V122" s="1129"/>
    </row>
    <row r="123" spans="1:22" s="715" customFormat="1" ht="13.5" hidden="1" customHeight="1">
      <c r="A123" s="1125">
        <v>9</v>
      </c>
      <c r="B123" s="1139" t="s">
        <v>1026</v>
      </c>
      <c r="C123" s="1170" t="s">
        <v>1032</v>
      </c>
      <c r="D123" s="1124" t="s">
        <v>243</v>
      </c>
      <c r="E123" s="1167" t="s">
        <v>1028</v>
      </c>
      <c r="F123" s="1125" t="s">
        <v>758</v>
      </c>
      <c r="G123" s="714">
        <f>G124+G125+G126+G127</f>
        <v>619300</v>
      </c>
      <c r="H123" s="714">
        <f>H124+H125+H126+H127</f>
        <v>120691</v>
      </c>
      <c r="I123" s="1168">
        <f>J123+M123</f>
        <v>250200</v>
      </c>
      <c r="J123" s="1168">
        <f>K123+L123</f>
        <v>212669</v>
      </c>
      <c r="K123" s="1129">
        <v>212669</v>
      </c>
      <c r="L123" s="1129">
        <v>0</v>
      </c>
      <c r="M123" s="1168">
        <f>N123+Q123+T123</f>
        <v>37531</v>
      </c>
      <c r="N123" s="1168">
        <f>O123+P123</f>
        <v>0</v>
      </c>
      <c r="O123" s="1129">
        <v>0</v>
      </c>
      <c r="P123" s="1129">
        <v>0</v>
      </c>
      <c r="Q123" s="1168">
        <f>R123+S123</f>
        <v>37531</v>
      </c>
      <c r="R123" s="1129">
        <v>37531</v>
      </c>
      <c r="S123" s="1129">
        <v>0</v>
      </c>
      <c r="T123" s="1168">
        <f>U123+V123</f>
        <v>0</v>
      </c>
      <c r="U123" s="1129">
        <v>0</v>
      </c>
      <c r="V123" s="1129">
        <v>0</v>
      </c>
    </row>
    <row r="124" spans="1:22" s="715" customFormat="1" ht="13.5" hidden="1" customHeight="1">
      <c r="A124" s="1125"/>
      <c r="B124" s="1140"/>
      <c r="C124" s="1171"/>
      <c r="D124" s="1124"/>
      <c r="E124" s="1167"/>
      <c r="F124" s="1125"/>
      <c r="G124" s="714">
        <v>526405</v>
      </c>
      <c r="H124" s="714">
        <v>102587</v>
      </c>
      <c r="I124" s="1168"/>
      <c r="J124" s="1168"/>
      <c r="K124" s="1129"/>
      <c r="L124" s="1129"/>
      <c r="M124" s="1168"/>
      <c r="N124" s="1168"/>
      <c r="O124" s="1129"/>
      <c r="P124" s="1129"/>
      <c r="Q124" s="1168"/>
      <c r="R124" s="1129"/>
      <c r="S124" s="1129"/>
      <c r="T124" s="1168"/>
      <c r="U124" s="1129"/>
      <c r="V124" s="1129"/>
    </row>
    <row r="125" spans="1:22" s="715" customFormat="1" ht="13.5" hidden="1" customHeight="1">
      <c r="A125" s="1125"/>
      <c r="B125" s="1140"/>
      <c r="C125" s="1171"/>
      <c r="D125" s="1124"/>
      <c r="E125" s="1167"/>
      <c r="F125" s="1125"/>
      <c r="G125" s="714">
        <v>0</v>
      </c>
      <c r="H125" s="714">
        <v>0</v>
      </c>
      <c r="I125" s="716">
        <f>J125+M125</f>
        <v>0</v>
      </c>
      <c r="J125" s="716">
        <f>K125+L125</f>
        <v>0</v>
      </c>
      <c r="K125" s="694">
        <v>0</v>
      </c>
      <c r="L125" s="694">
        <v>0</v>
      </c>
      <c r="M125" s="716">
        <f>N125+Q125+T125</f>
        <v>0</v>
      </c>
      <c r="N125" s="716">
        <f>O125+P125</f>
        <v>0</v>
      </c>
      <c r="O125" s="694">
        <v>0</v>
      </c>
      <c r="P125" s="694">
        <v>0</v>
      </c>
      <c r="Q125" s="716">
        <f>R125+S125</f>
        <v>0</v>
      </c>
      <c r="R125" s="694">
        <v>0</v>
      </c>
      <c r="S125" s="694">
        <v>0</v>
      </c>
      <c r="T125" s="716">
        <f>U125+V125</f>
        <v>0</v>
      </c>
      <c r="U125" s="694">
        <v>0</v>
      </c>
      <c r="V125" s="694">
        <v>0</v>
      </c>
    </row>
    <row r="126" spans="1:22" s="715" customFormat="1" ht="13.5" hidden="1" customHeight="1">
      <c r="A126" s="1125"/>
      <c r="B126" s="1140"/>
      <c r="C126" s="1171"/>
      <c r="D126" s="1124"/>
      <c r="E126" s="1167"/>
      <c r="F126" s="1125"/>
      <c r="G126" s="714">
        <v>92895</v>
      </c>
      <c r="H126" s="714">
        <v>18104</v>
      </c>
      <c r="I126" s="1168">
        <f t="shared" ref="I126:V126" si="21">I123+I125</f>
        <v>250200</v>
      </c>
      <c r="J126" s="1168">
        <f t="shared" si="21"/>
        <v>212669</v>
      </c>
      <c r="K126" s="1129">
        <f t="shared" si="21"/>
        <v>212669</v>
      </c>
      <c r="L126" s="1129">
        <f t="shared" si="21"/>
        <v>0</v>
      </c>
      <c r="M126" s="1168">
        <f t="shared" si="21"/>
        <v>37531</v>
      </c>
      <c r="N126" s="1168">
        <f t="shared" si="21"/>
        <v>0</v>
      </c>
      <c r="O126" s="1129">
        <f t="shared" si="21"/>
        <v>0</v>
      </c>
      <c r="P126" s="1129">
        <f t="shared" si="21"/>
        <v>0</v>
      </c>
      <c r="Q126" s="1168">
        <f t="shared" si="21"/>
        <v>37531</v>
      </c>
      <c r="R126" s="1129">
        <f t="shared" si="21"/>
        <v>37531</v>
      </c>
      <c r="S126" s="1129">
        <f t="shared" si="21"/>
        <v>0</v>
      </c>
      <c r="T126" s="1168">
        <f t="shared" si="21"/>
        <v>0</v>
      </c>
      <c r="U126" s="1129">
        <f t="shared" si="21"/>
        <v>0</v>
      </c>
      <c r="V126" s="1129">
        <f t="shared" si="21"/>
        <v>0</v>
      </c>
    </row>
    <row r="127" spans="1:22" s="715" customFormat="1" ht="13.5" hidden="1" customHeight="1">
      <c r="A127" s="1125"/>
      <c r="B127" s="1141"/>
      <c r="C127" s="1172"/>
      <c r="D127" s="1124"/>
      <c r="E127" s="1167"/>
      <c r="F127" s="1125"/>
      <c r="G127" s="714">
        <v>0</v>
      </c>
      <c r="H127" s="714">
        <v>0</v>
      </c>
      <c r="I127" s="1168"/>
      <c r="J127" s="1168"/>
      <c r="K127" s="1129"/>
      <c r="L127" s="1129"/>
      <c r="M127" s="1168"/>
      <c r="N127" s="1168"/>
      <c r="O127" s="1129"/>
      <c r="P127" s="1129"/>
      <c r="Q127" s="1168"/>
      <c r="R127" s="1129"/>
      <c r="S127" s="1129"/>
      <c r="T127" s="1168"/>
      <c r="U127" s="1129"/>
      <c r="V127" s="1129"/>
    </row>
    <row r="128" spans="1:22" s="715" customFormat="1" ht="13.5" hidden="1" customHeight="1">
      <c r="A128" s="1125">
        <v>10</v>
      </c>
      <c r="B128" s="1139" t="s">
        <v>1033</v>
      </c>
      <c r="C128" s="1170" t="s">
        <v>1034</v>
      </c>
      <c r="D128" s="1124" t="s">
        <v>243</v>
      </c>
      <c r="E128" s="1167" t="s">
        <v>1035</v>
      </c>
      <c r="F128" s="1125" t="s">
        <v>780</v>
      </c>
      <c r="G128" s="714">
        <f>G129+G130+G131+G132</f>
        <v>789965</v>
      </c>
      <c r="H128" s="714">
        <f>H129+H130+H131+H132</f>
        <v>225500</v>
      </c>
      <c r="I128" s="1168">
        <f>J128+M128</f>
        <v>202608</v>
      </c>
      <c r="J128" s="1168">
        <f>K128+L128</f>
        <v>172216</v>
      </c>
      <c r="K128" s="1129">
        <v>172216</v>
      </c>
      <c r="L128" s="1129">
        <v>0</v>
      </c>
      <c r="M128" s="1168">
        <f>N128+Q128+T128</f>
        <v>30392</v>
      </c>
      <c r="N128" s="1168">
        <f>O128+P128</f>
        <v>0</v>
      </c>
      <c r="O128" s="1129">
        <v>0</v>
      </c>
      <c r="P128" s="1129">
        <v>0</v>
      </c>
      <c r="Q128" s="1168">
        <f>R128+S128</f>
        <v>30392</v>
      </c>
      <c r="R128" s="1129">
        <v>30392</v>
      </c>
      <c r="S128" s="1129">
        <v>0</v>
      </c>
      <c r="T128" s="1168">
        <f>U128+V128</f>
        <v>0</v>
      </c>
      <c r="U128" s="1129">
        <v>0</v>
      </c>
      <c r="V128" s="1129">
        <v>0</v>
      </c>
    </row>
    <row r="129" spans="1:22" s="715" customFormat="1" ht="13.5" hidden="1" customHeight="1">
      <c r="A129" s="1125"/>
      <c r="B129" s="1140"/>
      <c r="C129" s="1171"/>
      <c r="D129" s="1124"/>
      <c r="E129" s="1167"/>
      <c r="F129" s="1125"/>
      <c r="G129" s="714">
        <v>671357</v>
      </c>
      <c r="H129" s="714">
        <v>191563</v>
      </c>
      <c r="I129" s="1168"/>
      <c r="J129" s="1168"/>
      <c r="K129" s="1129"/>
      <c r="L129" s="1129"/>
      <c r="M129" s="1168"/>
      <c r="N129" s="1168"/>
      <c r="O129" s="1129"/>
      <c r="P129" s="1129"/>
      <c r="Q129" s="1168"/>
      <c r="R129" s="1129"/>
      <c r="S129" s="1129"/>
      <c r="T129" s="1168"/>
      <c r="U129" s="1129"/>
      <c r="V129" s="1129"/>
    </row>
    <row r="130" spans="1:22" s="715" customFormat="1" ht="13.5" hidden="1" customHeight="1">
      <c r="A130" s="1125"/>
      <c r="B130" s="1140"/>
      <c r="C130" s="1171"/>
      <c r="D130" s="1124"/>
      <c r="E130" s="1167"/>
      <c r="F130" s="1125"/>
      <c r="G130" s="714">
        <v>0</v>
      </c>
      <c r="H130" s="714">
        <v>0</v>
      </c>
      <c r="I130" s="716">
        <f>J130+M130</f>
        <v>0</v>
      </c>
      <c r="J130" s="716">
        <f>K130+L130</f>
        <v>0</v>
      </c>
      <c r="K130" s="694">
        <v>0</v>
      </c>
      <c r="L130" s="694">
        <v>0</v>
      </c>
      <c r="M130" s="716">
        <f>N130+Q130+T130</f>
        <v>0</v>
      </c>
      <c r="N130" s="716">
        <f>O130+P130</f>
        <v>0</v>
      </c>
      <c r="O130" s="694">
        <v>0</v>
      </c>
      <c r="P130" s="694">
        <v>0</v>
      </c>
      <c r="Q130" s="716">
        <f>R130+S130</f>
        <v>0</v>
      </c>
      <c r="R130" s="694">
        <v>0</v>
      </c>
      <c r="S130" s="694">
        <v>0</v>
      </c>
      <c r="T130" s="716">
        <f>U130+V130</f>
        <v>0</v>
      </c>
      <c r="U130" s="694">
        <v>0</v>
      </c>
      <c r="V130" s="694">
        <v>0</v>
      </c>
    </row>
    <row r="131" spans="1:22" s="715" customFormat="1" ht="13.5" hidden="1" customHeight="1">
      <c r="A131" s="1125"/>
      <c r="B131" s="1140"/>
      <c r="C131" s="1171"/>
      <c r="D131" s="1124"/>
      <c r="E131" s="1167"/>
      <c r="F131" s="1125"/>
      <c r="G131" s="714">
        <v>118608</v>
      </c>
      <c r="H131" s="714">
        <v>33937</v>
      </c>
      <c r="I131" s="1168">
        <f t="shared" ref="I131:V131" si="22">I128+I130</f>
        <v>202608</v>
      </c>
      <c r="J131" s="1168">
        <f t="shared" si="22"/>
        <v>172216</v>
      </c>
      <c r="K131" s="1129">
        <f t="shared" si="22"/>
        <v>172216</v>
      </c>
      <c r="L131" s="1129">
        <f t="shared" si="22"/>
        <v>0</v>
      </c>
      <c r="M131" s="1168">
        <f t="shared" si="22"/>
        <v>30392</v>
      </c>
      <c r="N131" s="1168">
        <f t="shared" si="22"/>
        <v>0</v>
      </c>
      <c r="O131" s="1129">
        <f t="shared" si="22"/>
        <v>0</v>
      </c>
      <c r="P131" s="1129">
        <f t="shared" si="22"/>
        <v>0</v>
      </c>
      <c r="Q131" s="1168">
        <f t="shared" si="22"/>
        <v>30392</v>
      </c>
      <c r="R131" s="1129">
        <f t="shared" si="22"/>
        <v>30392</v>
      </c>
      <c r="S131" s="1129">
        <f t="shared" si="22"/>
        <v>0</v>
      </c>
      <c r="T131" s="1168">
        <f t="shared" si="22"/>
        <v>0</v>
      </c>
      <c r="U131" s="1129">
        <f t="shared" si="22"/>
        <v>0</v>
      </c>
      <c r="V131" s="1129">
        <f t="shared" si="22"/>
        <v>0</v>
      </c>
    </row>
    <row r="132" spans="1:22" s="715" customFormat="1" ht="13.5" hidden="1" customHeight="1">
      <c r="A132" s="1125"/>
      <c r="B132" s="1141"/>
      <c r="C132" s="1172"/>
      <c r="D132" s="1124"/>
      <c r="E132" s="1167"/>
      <c r="F132" s="1125"/>
      <c r="G132" s="714">
        <v>0</v>
      </c>
      <c r="H132" s="714">
        <v>0</v>
      </c>
      <c r="I132" s="1168"/>
      <c r="J132" s="1168"/>
      <c r="K132" s="1129"/>
      <c r="L132" s="1129"/>
      <c r="M132" s="1168"/>
      <c r="N132" s="1168"/>
      <c r="O132" s="1129"/>
      <c r="P132" s="1129"/>
      <c r="Q132" s="1168"/>
      <c r="R132" s="1129"/>
      <c r="S132" s="1129"/>
      <c r="T132" s="1168"/>
      <c r="U132" s="1129"/>
      <c r="V132" s="1129"/>
    </row>
    <row r="133" spans="1:22" s="715" customFormat="1" ht="13.5" hidden="1" customHeight="1">
      <c r="A133" s="1125">
        <v>11</v>
      </c>
      <c r="B133" s="1139" t="s">
        <v>1033</v>
      </c>
      <c r="C133" s="1170" t="s">
        <v>1036</v>
      </c>
      <c r="D133" s="1124" t="s">
        <v>243</v>
      </c>
      <c r="E133" s="1167" t="s">
        <v>1037</v>
      </c>
      <c r="F133" s="1125" t="s">
        <v>750</v>
      </c>
      <c r="G133" s="714">
        <f>G134+G135+G136+G137</f>
        <v>812585</v>
      </c>
      <c r="H133" s="714">
        <f>H134+H135+H136+H137</f>
        <v>338177</v>
      </c>
      <c r="I133" s="1168">
        <f>J133+M133</f>
        <v>359396</v>
      </c>
      <c r="J133" s="1168">
        <f>K133+L133</f>
        <v>305487</v>
      </c>
      <c r="K133" s="1129">
        <v>305487</v>
      </c>
      <c r="L133" s="1129">
        <v>0</v>
      </c>
      <c r="M133" s="1168">
        <f>N133+Q133+T133</f>
        <v>53909</v>
      </c>
      <c r="N133" s="1168">
        <f>O133+P133</f>
        <v>0</v>
      </c>
      <c r="O133" s="1129">
        <v>0</v>
      </c>
      <c r="P133" s="1129">
        <v>0</v>
      </c>
      <c r="Q133" s="1168">
        <f>R133+S133</f>
        <v>53909</v>
      </c>
      <c r="R133" s="1129">
        <v>53909</v>
      </c>
      <c r="S133" s="1129">
        <v>0</v>
      </c>
      <c r="T133" s="1168">
        <f>U133+V133</f>
        <v>0</v>
      </c>
      <c r="U133" s="1129">
        <v>0</v>
      </c>
      <c r="V133" s="1129">
        <v>0</v>
      </c>
    </row>
    <row r="134" spans="1:22" s="715" customFormat="1" ht="13.5" hidden="1" customHeight="1">
      <c r="A134" s="1125"/>
      <c r="B134" s="1140"/>
      <c r="C134" s="1171"/>
      <c r="D134" s="1124"/>
      <c r="E134" s="1167"/>
      <c r="F134" s="1125"/>
      <c r="G134" s="714">
        <v>690697</v>
      </c>
      <c r="H134" s="714">
        <v>287450</v>
      </c>
      <c r="I134" s="1168"/>
      <c r="J134" s="1168"/>
      <c r="K134" s="1129"/>
      <c r="L134" s="1129"/>
      <c r="M134" s="1168"/>
      <c r="N134" s="1168"/>
      <c r="O134" s="1129"/>
      <c r="P134" s="1129"/>
      <c r="Q134" s="1168"/>
      <c r="R134" s="1129"/>
      <c r="S134" s="1129"/>
      <c r="T134" s="1168"/>
      <c r="U134" s="1129"/>
      <c r="V134" s="1129"/>
    </row>
    <row r="135" spans="1:22" s="715" customFormat="1" ht="13.5" hidden="1" customHeight="1">
      <c r="A135" s="1125"/>
      <c r="B135" s="1140"/>
      <c r="C135" s="1171"/>
      <c r="D135" s="1124"/>
      <c r="E135" s="1167"/>
      <c r="F135" s="1125"/>
      <c r="G135" s="714">
        <v>0</v>
      </c>
      <c r="H135" s="714">
        <v>0</v>
      </c>
      <c r="I135" s="716">
        <f>J135+M135</f>
        <v>0</v>
      </c>
      <c r="J135" s="716">
        <f>K135+L135</f>
        <v>0</v>
      </c>
      <c r="K135" s="694">
        <v>0</v>
      </c>
      <c r="L135" s="694">
        <v>0</v>
      </c>
      <c r="M135" s="716">
        <f>N135+Q135+T135</f>
        <v>0</v>
      </c>
      <c r="N135" s="716">
        <f>O135+P135</f>
        <v>0</v>
      </c>
      <c r="O135" s="694">
        <v>0</v>
      </c>
      <c r="P135" s="694">
        <v>0</v>
      </c>
      <c r="Q135" s="716">
        <f>R135+S135</f>
        <v>0</v>
      </c>
      <c r="R135" s="694">
        <v>0</v>
      </c>
      <c r="S135" s="694">
        <v>0</v>
      </c>
      <c r="T135" s="716">
        <f>U135+V135</f>
        <v>0</v>
      </c>
      <c r="U135" s="694">
        <v>0</v>
      </c>
      <c r="V135" s="694">
        <v>0</v>
      </c>
    </row>
    <row r="136" spans="1:22" s="715" customFormat="1" ht="13.5" hidden="1" customHeight="1">
      <c r="A136" s="1125"/>
      <c r="B136" s="1140"/>
      <c r="C136" s="1171"/>
      <c r="D136" s="1124"/>
      <c r="E136" s="1167"/>
      <c r="F136" s="1125"/>
      <c r="G136" s="714">
        <v>121888</v>
      </c>
      <c r="H136" s="714">
        <v>50727</v>
      </c>
      <c r="I136" s="1168">
        <f t="shared" ref="I136:V136" si="23">I133+I135</f>
        <v>359396</v>
      </c>
      <c r="J136" s="1168">
        <f t="shared" si="23"/>
        <v>305487</v>
      </c>
      <c r="K136" s="1129">
        <f t="shared" si="23"/>
        <v>305487</v>
      </c>
      <c r="L136" s="1129">
        <f t="shared" si="23"/>
        <v>0</v>
      </c>
      <c r="M136" s="1168">
        <f t="shared" si="23"/>
        <v>53909</v>
      </c>
      <c r="N136" s="1168">
        <f t="shared" si="23"/>
        <v>0</v>
      </c>
      <c r="O136" s="1129">
        <f t="shared" si="23"/>
        <v>0</v>
      </c>
      <c r="P136" s="1129">
        <f t="shared" si="23"/>
        <v>0</v>
      </c>
      <c r="Q136" s="1168">
        <f t="shared" si="23"/>
        <v>53909</v>
      </c>
      <c r="R136" s="1129">
        <f t="shared" si="23"/>
        <v>53909</v>
      </c>
      <c r="S136" s="1129">
        <f t="shared" si="23"/>
        <v>0</v>
      </c>
      <c r="T136" s="1168">
        <f t="shared" si="23"/>
        <v>0</v>
      </c>
      <c r="U136" s="1129">
        <f t="shared" si="23"/>
        <v>0</v>
      </c>
      <c r="V136" s="1129">
        <f t="shared" si="23"/>
        <v>0</v>
      </c>
    </row>
    <row r="137" spans="1:22" s="715" customFormat="1" ht="13.5" hidden="1" customHeight="1">
      <c r="A137" s="1125"/>
      <c r="B137" s="1141"/>
      <c r="C137" s="1172"/>
      <c r="D137" s="1124"/>
      <c r="E137" s="1167"/>
      <c r="F137" s="1125"/>
      <c r="G137" s="714">
        <v>0</v>
      </c>
      <c r="H137" s="714">
        <v>0</v>
      </c>
      <c r="I137" s="1168"/>
      <c r="J137" s="1168"/>
      <c r="K137" s="1129"/>
      <c r="L137" s="1129"/>
      <c r="M137" s="1168"/>
      <c r="N137" s="1168"/>
      <c r="O137" s="1129"/>
      <c r="P137" s="1129"/>
      <c r="Q137" s="1168"/>
      <c r="R137" s="1129"/>
      <c r="S137" s="1129"/>
      <c r="T137" s="1168"/>
      <c r="U137" s="1129"/>
      <c r="V137" s="1129"/>
    </row>
    <row r="138" spans="1:22" s="715" customFormat="1" ht="13.5" hidden="1" customHeight="1">
      <c r="A138" s="1125">
        <v>11</v>
      </c>
      <c r="B138" s="1139" t="s">
        <v>1033</v>
      </c>
      <c r="C138" s="1170" t="s">
        <v>1038</v>
      </c>
      <c r="D138" s="1124" t="s">
        <v>243</v>
      </c>
      <c r="E138" s="1167" t="s">
        <v>1037</v>
      </c>
      <c r="F138" s="1125" t="s">
        <v>750</v>
      </c>
      <c r="G138" s="714">
        <f>G139+G140+G141+G142</f>
        <v>805853</v>
      </c>
      <c r="H138" s="714">
        <f>H139+H140+H141+H142</f>
        <v>185167</v>
      </c>
      <c r="I138" s="1168">
        <f>J138+M138</f>
        <v>304341</v>
      </c>
      <c r="J138" s="1168">
        <f>K138+L138</f>
        <v>258690</v>
      </c>
      <c r="K138" s="1129">
        <v>258690</v>
      </c>
      <c r="L138" s="1129">
        <v>0</v>
      </c>
      <c r="M138" s="1168">
        <f>N138+Q138+T138</f>
        <v>45651</v>
      </c>
      <c r="N138" s="1168">
        <f>O138+P138</f>
        <v>0</v>
      </c>
      <c r="O138" s="1129">
        <v>0</v>
      </c>
      <c r="P138" s="1129">
        <v>0</v>
      </c>
      <c r="Q138" s="1168">
        <f>R138+S138</f>
        <v>45651</v>
      </c>
      <c r="R138" s="1129">
        <v>45651</v>
      </c>
      <c r="S138" s="1129">
        <v>0</v>
      </c>
      <c r="T138" s="1168">
        <f>U138+V138</f>
        <v>0</v>
      </c>
      <c r="U138" s="1129">
        <v>0</v>
      </c>
      <c r="V138" s="1129">
        <v>0</v>
      </c>
    </row>
    <row r="139" spans="1:22" s="715" customFormat="1" ht="13.5" hidden="1" customHeight="1">
      <c r="A139" s="1125"/>
      <c r="B139" s="1140"/>
      <c r="C139" s="1171"/>
      <c r="D139" s="1124"/>
      <c r="E139" s="1167"/>
      <c r="F139" s="1125"/>
      <c r="G139" s="714">
        <v>684974</v>
      </c>
      <c r="H139" s="714">
        <v>157392</v>
      </c>
      <c r="I139" s="1168"/>
      <c r="J139" s="1168"/>
      <c r="K139" s="1129"/>
      <c r="L139" s="1129"/>
      <c r="M139" s="1168"/>
      <c r="N139" s="1168"/>
      <c r="O139" s="1129"/>
      <c r="P139" s="1129"/>
      <c r="Q139" s="1168"/>
      <c r="R139" s="1129"/>
      <c r="S139" s="1129"/>
      <c r="T139" s="1168"/>
      <c r="U139" s="1129"/>
      <c r="V139" s="1129"/>
    </row>
    <row r="140" spans="1:22" s="715" customFormat="1" ht="13.5" hidden="1" customHeight="1">
      <c r="A140" s="1125"/>
      <c r="B140" s="1140"/>
      <c r="C140" s="1171"/>
      <c r="D140" s="1124"/>
      <c r="E140" s="1167"/>
      <c r="F140" s="1125"/>
      <c r="G140" s="714">
        <v>0</v>
      </c>
      <c r="H140" s="714">
        <v>0</v>
      </c>
      <c r="I140" s="716">
        <f>J140+M140</f>
        <v>0</v>
      </c>
      <c r="J140" s="716">
        <f>K140+L140</f>
        <v>0</v>
      </c>
      <c r="K140" s="694">
        <v>0</v>
      </c>
      <c r="L140" s="694">
        <v>0</v>
      </c>
      <c r="M140" s="716">
        <f>N140+Q140+T140</f>
        <v>0</v>
      </c>
      <c r="N140" s="716">
        <f>O140+P140</f>
        <v>0</v>
      </c>
      <c r="O140" s="694">
        <v>0</v>
      </c>
      <c r="P140" s="694">
        <v>0</v>
      </c>
      <c r="Q140" s="716">
        <f>R140+S140</f>
        <v>0</v>
      </c>
      <c r="R140" s="694">
        <v>0</v>
      </c>
      <c r="S140" s="694">
        <v>0</v>
      </c>
      <c r="T140" s="716">
        <f>U140+V140</f>
        <v>0</v>
      </c>
      <c r="U140" s="694">
        <v>0</v>
      </c>
      <c r="V140" s="694">
        <v>0</v>
      </c>
    </row>
    <row r="141" spans="1:22" s="715" customFormat="1" ht="13.5" hidden="1" customHeight="1">
      <c r="A141" s="1125"/>
      <c r="B141" s="1140"/>
      <c r="C141" s="1171"/>
      <c r="D141" s="1124"/>
      <c r="E141" s="1167"/>
      <c r="F141" s="1125"/>
      <c r="G141" s="714">
        <v>120879</v>
      </c>
      <c r="H141" s="714">
        <v>27775</v>
      </c>
      <c r="I141" s="1168">
        <f t="shared" ref="I141:V141" si="24">I138+I140</f>
        <v>304341</v>
      </c>
      <c r="J141" s="1168">
        <f t="shared" si="24"/>
        <v>258690</v>
      </c>
      <c r="K141" s="1129">
        <f t="shared" si="24"/>
        <v>258690</v>
      </c>
      <c r="L141" s="1129">
        <f t="shared" si="24"/>
        <v>0</v>
      </c>
      <c r="M141" s="1168">
        <f t="shared" si="24"/>
        <v>45651</v>
      </c>
      <c r="N141" s="1168">
        <f t="shared" si="24"/>
        <v>0</v>
      </c>
      <c r="O141" s="1129">
        <f t="shared" si="24"/>
        <v>0</v>
      </c>
      <c r="P141" s="1129">
        <f t="shared" si="24"/>
        <v>0</v>
      </c>
      <c r="Q141" s="1168">
        <f t="shared" si="24"/>
        <v>45651</v>
      </c>
      <c r="R141" s="1129">
        <f t="shared" si="24"/>
        <v>45651</v>
      </c>
      <c r="S141" s="1129">
        <f t="shared" si="24"/>
        <v>0</v>
      </c>
      <c r="T141" s="1168">
        <f t="shared" si="24"/>
        <v>0</v>
      </c>
      <c r="U141" s="1129">
        <f t="shared" si="24"/>
        <v>0</v>
      </c>
      <c r="V141" s="1129">
        <f t="shared" si="24"/>
        <v>0</v>
      </c>
    </row>
    <row r="142" spans="1:22" s="715" customFormat="1" ht="13.5" hidden="1" customHeight="1">
      <c r="A142" s="1125"/>
      <c r="B142" s="1141"/>
      <c r="C142" s="1172"/>
      <c r="D142" s="1124"/>
      <c r="E142" s="1167"/>
      <c r="F142" s="1125"/>
      <c r="G142" s="714">
        <v>0</v>
      </c>
      <c r="H142" s="714">
        <v>0</v>
      </c>
      <c r="I142" s="1168"/>
      <c r="J142" s="1168"/>
      <c r="K142" s="1129"/>
      <c r="L142" s="1129"/>
      <c r="M142" s="1168"/>
      <c r="N142" s="1168"/>
      <c r="O142" s="1129"/>
      <c r="P142" s="1129"/>
      <c r="Q142" s="1168"/>
      <c r="R142" s="1129"/>
      <c r="S142" s="1129"/>
      <c r="T142" s="1168"/>
      <c r="U142" s="1129"/>
      <c r="V142" s="1129"/>
    </row>
    <row r="143" spans="1:22" s="715" customFormat="1" ht="14.25" hidden="1" customHeight="1">
      <c r="A143" s="1125">
        <v>12</v>
      </c>
      <c r="B143" s="1139" t="s">
        <v>1033</v>
      </c>
      <c r="C143" s="1170" t="s">
        <v>1039</v>
      </c>
      <c r="D143" s="1124" t="s">
        <v>243</v>
      </c>
      <c r="E143" s="1167" t="s">
        <v>1037</v>
      </c>
      <c r="F143" s="1125" t="s">
        <v>750</v>
      </c>
      <c r="G143" s="714">
        <f>G144+G145+G146+G147</f>
        <v>824624</v>
      </c>
      <c r="H143" s="714">
        <f>H144+H145+H146+H147</f>
        <v>320321</v>
      </c>
      <c r="I143" s="1168">
        <f>J143+M143</f>
        <v>335651</v>
      </c>
      <c r="J143" s="1168">
        <f>K143+L143</f>
        <v>285302</v>
      </c>
      <c r="K143" s="1129">
        <v>285302</v>
      </c>
      <c r="L143" s="1129">
        <v>0</v>
      </c>
      <c r="M143" s="1168">
        <f>N143+Q143+T143</f>
        <v>50349</v>
      </c>
      <c r="N143" s="1168">
        <f>O143+P143</f>
        <v>0</v>
      </c>
      <c r="O143" s="1129">
        <v>0</v>
      </c>
      <c r="P143" s="1129">
        <v>0</v>
      </c>
      <c r="Q143" s="1168">
        <f>R143+S143</f>
        <v>50349</v>
      </c>
      <c r="R143" s="1129">
        <v>50349</v>
      </c>
      <c r="S143" s="1129">
        <v>0</v>
      </c>
      <c r="T143" s="1168">
        <f>U143+V143</f>
        <v>0</v>
      </c>
      <c r="U143" s="1129">
        <v>0</v>
      </c>
      <c r="V143" s="1129">
        <v>0</v>
      </c>
    </row>
    <row r="144" spans="1:22" s="715" customFormat="1" ht="14.25" hidden="1" customHeight="1">
      <c r="A144" s="1125"/>
      <c r="B144" s="1140"/>
      <c r="C144" s="1171"/>
      <c r="D144" s="1124"/>
      <c r="E144" s="1167"/>
      <c r="F144" s="1125"/>
      <c r="G144" s="714">
        <v>700930</v>
      </c>
      <c r="H144" s="714">
        <v>272272</v>
      </c>
      <c r="I144" s="1168"/>
      <c r="J144" s="1168"/>
      <c r="K144" s="1129"/>
      <c r="L144" s="1129"/>
      <c r="M144" s="1168"/>
      <c r="N144" s="1168"/>
      <c r="O144" s="1129"/>
      <c r="P144" s="1129"/>
      <c r="Q144" s="1168"/>
      <c r="R144" s="1129"/>
      <c r="S144" s="1129"/>
      <c r="T144" s="1168"/>
      <c r="U144" s="1129"/>
      <c r="V144" s="1129"/>
    </row>
    <row r="145" spans="1:22" s="715" customFormat="1" ht="14.25" hidden="1" customHeight="1">
      <c r="A145" s="1125"/>
      <c r="B145" s="1140"/>
      <c r="C145" s="1171"/>
      <c r="D145" s="1124"/>
      <c r="E145" s="1167"/>
      <c r="F145" s="1125"/>
      <c r="G145" s="714">
        <v>0</v>
      </c>
      <c r="H145" s="714">
        <v>0</v>
      </c>
      <c r="I145" s="716">
        <f>J145+M145</f>
        <v>0</v>
      </c>
      <c r="J145" s="716">
        <f>K145+L145</f>
        <v>0</v>
      </c>
      <c r="K145" s="694">
        <v>0</v>
      </c>
      <c r="L145" s="694">
        <v>0</v>
      </c>
      <c r="M145" s="716">
        <f>N145+Q145+T145</f>
        <v>0</v>
      </c>
      <c r="N145" s="716">
        <f>O145+P145</f>
        <v>0</v>
      </c>
      <c r="O145" s="694">
        <v>0</v>
      </c>
      <c r="P145" s="694">
        <v>0</v>
      </c>
      <c r="Q145" s="716">
        <f>R145+S145</f>
        <v>0</v>
      </c>
      <c r="R145" s="694">
        <v>0</v>
      </c>
      <c r="S145" s="694">
        <v>0</v>
      </c>
      <c r="T145" s="716">
        <f>U145+V145</f>
        <v>0</v>
      </c>
      <c r="U145" s="694">
        <v>0</v>
      </c>
      <c r="V145" s="694">
        <v>0</v>
      </c>
    </row>
    <row r="146" spans="1:22" s="715" customFormat="1" ht="14.25" hidden="1" customHeight="1">
      <c r="A146" s="1125"/>
      <c r="B146" s="1140"/>
      <c r="C146" s="1171"/>
      <c r="D146" s="1124"/>
      <c r="E146" s="1167"/>
      <c r="F146" s="1125"/>
      <c r="G146" s="714">
        <v>123694</v>
      </c>
      <c r="H146" s="714">
        <v>48049</v>
      </c>
      <c r="I146" s="1168">
        <f t="shared" ref="I146:V146" si="25">I143+I145</f>
        <v>335651</v>
      </c>
      <c r="J146" s="1168">
        <f t="shared" si="25"/>
        <v>285302</v>
      </c>
      <c r="K146" s="1129">
        <f t="shared" si="25"/>
        <v>285302</v>
      </c>
      <c r="L146" s="1129">
        <f t="shared" si="25"/>
        <v>0</v>
      </c>
      <c r="M146" s="1168">
        <f t="shared" si="25"/>
        <v>50349</v>
      </c>
      <c r="N146" s="1168">
        <f t="shared" si="25"/>
        <v>0</v>
      </c>
      <c r="O146" s="1129">
        <f t="shared" si="25"/>
        <v>0</v>
      </c>
      <c r="P146" s="1129">
        <f t="shared" si="25"/>
        <v>0</v>
      </c>
      <c r="Q146" s="1168">
        <f t="shared" si="25"/>
        <v>50349</v>
      </c>
      <c r="R146" s="1129">
        <f t="shared" si="25"/>
        <v>50349</v>
      </c>
      <c r="S146" s="1129">
        <f t="shared" si="25"/>
        <v>0</v>
      </c>
      <c r="T146" s="1168">
        <f t="shared" si="25"/>
        <v>0</v>
      </c>
      <c r="U146" s="1129">
        <f t="shared" si="25"/>
        <v>0</v>
      </c>
      <c r="V146" s="1129">
        <f t="shared" si="25"/>
        <v>0</v>
      </c>
    </row>
    <row r="147" spans="1:22" s="715" customFormat="1" ht="14.25" hidden="1" customHeight="1">
      <c r="A147" s="1125"/>
      <c r="B147" s="1141"/>
      <c r="C147" s="1172"/>
      <c r="D147" s="1124"/>
      <c r="E147" s="1167"/>
      <c r="F147" s="1125"/>
      <c r="G147" s="714">
        <v>0</v>
      </c>
      <c r="H147" s="714">
        <v>0</v>
      </c>
      <c r="I147" s="1168"/>
      <c r="J147" s="1168"/>
      <c r="K147" s="1129"/>
      <c r="L147" s="1129"/>
      <c r="M147" s="1168"/>
      <c r="N147" s="1168"/>
      <c r="O147" s="1129"/>
      <c r="P147" s="1129"/>
      <c r="Q147" s="1168"/>
      <c r="R147" s="1129"/>
      <c r="S147" s="1129"/>
      <c r="T147" s="1168"/>
      <c r="U147" s="1129"/>
      <c r="V147" s="1129"/>
    </row>
    <row r="148" spans="1:22" s="718" customFormat="1">
      <c r="A148" s="1173" t="s">
        <v>712</v>
      </c>
      <c r="B148" s="1174"/>
      <c r="C148" s="1174"/>
      <c r="D148" s="1174"/>
      <c r="E148" s="1174"/>
      <c r="F148" s="1175"/>
      <c r="G148" s="717">
        <f>G123+G118+G113+G98+G108+G43+G93+G88+G83+G78+G73+G68+G63+G23+G33+G28+G18+G128+G133+G138+G143+G38+G58+G48+G53+G103</f>
        <v>174737952</v>
      </c>
      <c r="H148" s="717">
        <f>H123+H118+H113+H98+H108+H43+H93+H88+H83+H78+H73+H68+H63+H23+H33+H28+H18+H128+H133+H138+H143+H38+H58+H48+H53+H103</f>
        <v>60305124</v>
      </c>
      <c r="I148" s="1182">
        <f>I18+I23+I28+I33+I38+I43+I58+I63+I68+I73+I78+I83+I88+I93+I98+I108+I113+I118+I123+I128+I133+I138+I143+I48+I53+I103</f>
        <v>87779342</v>
      </c>
      <c r="J148" s="1182">
        <f t="shared" ref="J148:V148" si="26">J18+J23+J28+J33+J38+J43+J58+J63+J68+J73+J78+J83+J88+J93+J98+J108+J113+J118+J123+J128+J133+J138+J143+J48+J53+J103</f>
        <v>60434448</v>
      </c>
      <c r="K148" s="1182">
        <f t="shared" si="26"/>
        <v>46205549</v>
      </c>
      <c r="L148" s="1182">
        <f t="shared" si="26"/>
        <v>14228899</v>
      </c>
      <c r="M148" s="1182">
        <f t="shared" si="26"/>
        <v>27344894</v>
      </c>
      <c r="N148" s="1182">
        <f t="shared" si="26"/>
        <v>12227794</v>
      </c>
      <c r="O148" s="1182">
        <f t="shared" si="26"/>
        <v>12227794</v>
      </c>
      <c r="P148" s="1182">
        <f t="shared" si="26"/>
        <v>0</v>
      </c>
      <c r="Q148" s="1182">
        <f t="shared" si="26"/>
        <v>14421146</v>
      </c>
      <c r="R148" s="1182">
        <f t="shared" si="26"/>
        <v>1636591</v>
      </c>
      <c r="S148" s="1182">
        <f t="shared" si="26"/>
        <v>12784555</v>
      </c>
      <c r="T148" s="1182">
        <f t="shared" si="26"/>
        <v>695954</v>
      </c>
      <c r="U148" s="1182">
        <f t="shared" si="26"/>
        <v>695954</v>
      </c>
      <c r="V148" s="1182">
        <f t="shared" si="26"/>
        <v>0</v>
      </c>
    </row>
    <row r="149" spans="1:22" s="718" customFormat="1">
      <c r="A149" s="1176"/>
      <c r="B149" s="1177"/>
      <c r="C149" s="1177"/>
      <c r="D149" s="1177"/>
      <c r="E149" s="1177"/>
      <c r="F149" s="1178"/>
      <c r="G149" s="717">
        <f t="shared" ref="G149:H152" si="27">G124+G119+G114+G99+G109+G44+G94+G89+G84+G79+G74+G69+G64+G24+G34+G29+G19+G129+G134+G139+G144+G39+G59+G49+G54+G104</f>
        <v>116826213</v>
      </c>
      <c r="H149" s="717">
        <f t="shared" si="27"/>
        <v>40446728</v>
      </c>
      <c r="I149" s="1182"/>
      <c r="J149" s="1182"/>
      <c r="K149" s="1182"/>
      <c r="L149" s="1182"/>
      <c r="M149" s="1182"/>
      <c r="N149" s="1182"/>
      <c r="O149" s="1182"/>
      <c r="P149" s="1182"/>
      <c r="Q149" s="1182"/>
      <c r="R149" s="1182"/>
      <c r="S149" s="1182"/>
      <c r="T149" s="1182"/>
      <c r="U149" s="1182"/>
      <c r="V149" s="1182"/>
    </row>
    <row r="150" spans="1:22" s="718" customFormat="1">
      <c r="A150" s="1176"/>
      <c r="B150" s="1177"/>
      <c r="C150" s="1177"/>
      <c r="D150" s="1177"/>
      <c r="E150" s="1177"/>
      <c r="F150" s="1178"/>
      <c r="G150" s="717">
        <f t="shared" si="27"/>
        <v>34772053</v>
      </c>
      <c r="H150" s="717">
        <f t="shared" si="27"/>
        <v>12629196</v>
      </c>
      <c r="I150" s="719">
        <f>I20+I25+I30+I35+I40+I45+I60+I65+I70+I75+I80+I85+I90+I95+I100+I110+I115+I120+I125+I130+I135+I140+I145+I50+I55+I105</f>
        <v>-20122505</v>
      </c>
      <c r="J150" s="719">
        <f t="shared" ref="J150:V150" si="28">J20+J25+J30+J35+J40+J45+J60+J65+J70+J75+J80+J85+J90+J95+J100+J110+J115+J120+J125+J130+J135+J140+J145+J50+J55+J105</f>
        <v>-9039333</v>
      </c>
      <c r="K150" s="719">
        <f t="shared" si="28"/>
        <v>-79154</v>
      </c>
      <c r="L150" s="719">
        <f t="shared" si="28"/>
        <v>-8960179</v>
      </c>
      <c r="M150" s="719">
        <f t="shared" si="28"/>
        <v>-11083172</v>
      </c>
      <c r="N150" s="719">
        <f t="shared" si="28"/>
        <v>-26386</v>
      </c>
      <c r="O150" s="719">
        <f t="shared" si="28"/>
        <v>-26386</v>
      </c>
      <c r="P150" s="719">
        <f t="shared" si="28"/>
        <v>0</v>
      </c>
      <c r="Q150" s="719">
        <f t="shared" si="28"/>
        <v>-11056786</v>
      </c>
      <c r="R150" s="719">
        <f t="shared" si="28"/>
        <v>-666584</v>
      </c>
      <c r="S150" s="719">
        <f t="shared" si="28"/>
        <v>-10390202</v>
      </c>
      <c r="T150" s="719">
        <f t="shared" si="28"/>
        <v>0</v>
      </c>
      <c r="U150" s="719">
        <f t="shared" si="28"/>
        <v>0</v>
      </c>
      <c r="V150" s="719">
        <f t="shared" si="28"/>
        <v>0</v>
      </c>
    </row>
    <row r="151" spans="1:22" s="718" customFormat="1">
      <c r="A151" s="1176"/>
      <c r="B151" s="1177"/>
      <c r="C151" s="1177"/>
      <c r="D151" s="1177"/>
      <c r="E151" s="1177"/>
      <c r="F151" s="1178"/>
      <c r="G151" s="717">
        <f t="shared" si="27"/>
        <v>20672857</v>
      </c>
      <c r="H151" s="717">
        <f t="shared" si="27"/>
        <v>5458325</v>
      </c>
      <c r="I151" s="1182">
        <f>I148+I150</f>
        <v>67656837</v>
      </c>
      <c r="J151" s="1182">
        <f t="shared" ref="J151:V151" si="29">J148+J150</f>
        <v>51395115</v>
      </c>
      <c r="K151" s="1182">
        <f t="shared" si="29"/>
        <v>46126395</v>
      </c>
      <c r="L151" s="1182">
        <f t="shared" si="29"/>
        <v>5268720</v>
      </c>
      <c r="M151" s="1182">
        <f t="shared" si="29"/>
        <v>16261722</v>
      </c>
      <c r="N151" s="1182">
        <f t="shared" si="29"/>
        <v>12201408</v>
      </c>
      <c r="O151" s="1182">
        <f t="shared" si="29"/>
        <v>12201408</v>
      </c>
      <c r="P151" s="1182">
        <f t="shared" si="29"/>
        <v>0</v>
      </c>
      <c r="Q151" s="1182">
        <f t="shared" si="29"/>
        <v>3364360</v>
      </c>
      <c r="R151" s="1182">
        <f t="shared" si="29"/>
        <v>970007</v>
      </c>
      <c r="S151" s="1182">
        <f t="shared" si="29"/>
        <v>2394353</v>
      </c>
      <c r="T151" s="1182">
        <f t="shared" si="29"/>
        <v>695954</v>
      </c>
      <c r="U151" s="1182">
        <f t="shared" si="29"/>
        <v>695954</v>
      </c>
      <c r="V151" s="1182">
        <f t="shared" si="29"/>
        <v>0</v>
      </c>
    </row>
    <row r="152" spans="1:22" s="718" customFormat="1">
      <c r="A152" s="1179"/>
      <c r="B152" s="1180"/>
      <c r="C152" s="1180"/>
      <c r="D152" s="1180"/>
      <c r="E152" s="1180"/>
      <c r="F152" s="1181"/>
      <c r="G152" s="717">
        <f t="shared" si="27"/>
        <v>2466829</v>
      </c>
      <c r="H152" s="717">
        <f t="shared" si="27"/>
        <v>1770875</v>
      </c>
      <c r="I152" s="1182"/>
      <c r="J152" s="1182"/>
      <c r="K152" s="1182"/>
      <c r="L152" s="1182"/>
      <c r="M152" s="1182"/>
      <c r="N152" s="1182"/>
      <c r="O152" s="1182"/>
      <c r="P152" s="1182"/>
      <c r="Q152" s="1182"/>
      <c r="R152" s="1182"/>
      <c r="S152" s="1182"/>
      <c r="T152" s="1182"/>
      <c r="U152" s="1182"/>
      <c r="V152" s="1182"/>
    </row>
  </sheetData>
  <sheetProtection password="C25B" sheet="1"/>
  <mergeCells count="948">
    <mergeCell ref="U151:U152"/>
    <mergeCell ref="V151:V152"/>
    <mergeCell ref="O151:O152"/>
    <mergeCell ref="P151:P152"/>
    <mergeCell ref="Q151:Q152"/>
    <mergeCell ref="R151:R152"/>
    <mergeCell ref="S151:S152"/>
    <mergeCell ref="T151:T152"/>
    <mergeCell ref="I151:I152"/>
    <mergeCell ref="J151:J152"/>
    <mergeCell ref="K151:K152"/>
    <mergeCell ref="L151:L152"/>
    <mergeCell ref="M151:M152"/>
    <mergeCell ref="N151:N152"/>
    <mergeCell ref="Q148:Q149"/>
    <mergeCell ref="R148:R149"/>
    <mergeCell ref="S148:S149"/>
    <mergeCell ref="T148:T149"/>
    <mergeCell ref="U148:U149"/>
    <mergeCell ref="V148:V149"/>
    <mergeCell ref="V146:V147"/>
    <mergeCell ref="A148:F152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P146:P147"/>
    <mergeCell ref="Q146:Q147"/>
    <mergeCell ref="R146:R147"/>
    <mergeCell ref="S146:S147"/>
    <mergeCell ref="T146:T147"/>
    <mergeCell ref="U146:U147"/>
    <mergeCell ref="T143:T144"/>
    <mergeCell ref="U143:U144"/>
    <mergeCell ref="V143:V144"/>
    <mergeCell ref="I146:I147"/>
    <mergeCell ref="J146:J147"/>
    <mergeCell ref="K146:K147"/>
    <mergeCell ref="L146:L147"/>
    <mergeCell ref="M146:M147"/>
    <mergeCell ref="N146:N147"/>
    <mergeCell ref="O146:O147"/>
    <mergeCell ref="N143:N144"/>
    <mergeCell ref="O143:O144"/>
    <mergeCell ref="P143:P144"/>
    <mergeCell ref="Q143:Q144"/>
    <mergeCell ref="R143:R144"/>
    <mergeCell ref="S143:S144"/>
    <mergeCell ref="F143:F147"/>
    <mergeCell ref="I143:I144"/>
    <mergeCell ref="J143:J144"/>
    <mergeCell ref="K143:K144"/>
    <mergeCell ref="L143:L144"/>
    <mergeCell ref="M143:M144"/>
    <mergeCell ref="R141:R142"/>
    <mergeCell ref="S141:S142"/>
    <mergeCell ref="T141:T142"/>
    <mergeCell ref="U141:U142"/>
    <mergeCell ref="V141:V142"/>
    <mergeCell ref="A143:A147"/>
    <mergeCell ref="B143:B147"/>
    <mergeCell ref="C143:C147"/>
    <mergeCell ref="D143:D147"/>
    <mergeCell ref="E143:E147"/>
    <mergeCell ref="V138:V139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P138:P139"/>
    <mergeCell ref="Q138:Q139"/>
    <mergeCell ref="R138:R139"/>
    <mergeCell ref="S138:S139"/>
    <mergeCell ref="T138:T139"/>
    <mergeCell ref="U138:U139"/>
    <mergeCell ref="J138:J139"/>
    <mergeCell ref="K138:K139"/>
    <mergeCell ref="L138:L139"/>
    <mergeCell ref="M138:M139"/>
    <mergeCell ref="N138:N139"/>
    <mergeCell ref="O138:O139"/>
    <mergeCell ref="T136:T137"/>
    <mergeCell ref="U136:U137"/>
    <mergeCell ref="V136:V137"/>
    <mergeCell ref="A138:A142"/>
    <mergeCell ref="B138:B142"/>
    <mergeCell ref="C138:C142"/>
    <mergeCell ref="D138:D142"/>
    <mergeCell ref="E138:E142"/>
    <mergeCell ref="F138:F142"/>
    <mergeCell ref="I138:I139"/>
    <mergeCell ref="N136:N137"/>
    <mergeCell ref="O136:O137"/>
    <mergeCell ref="P136:P137"/>
    <mergeCell ref="Q136:Q137"/>
    <mergeCell ref="R136:R137"/>
    <mergeCell ref="S136:S137"/>
    <mergeCell ref="R133:R134"/>
    <mergeCell ref="S133:S134"/>
    <mergeCell ref="T133:T134"/>
    <mergeCell ref="U133:U134"/>
    <mergeCell ref="V133:V134"/>
    <mergeCell ref="I136:I137"/>
    <mergeCell ref="J136:J137"/>
    <mergeCell ref="K136:K137"/>
    <mergeCell ref="L136:L137"/>
    <mergeCell ref="M136:M137"/>
    <mergeCell ref="L133:L134"/>
    <mergeCell ref="M133:M134"/>
    <mergeCell ref="N133:N134"/>
    <mergeCell ref="O133:O134"/>
    <mergeCell ref="P133:P134"/>
    <mergeCell ref="Q133:Q134"/>
    <mergeCell ref="V131:V132"/>
    <mergeCell ref="A133:A137"/>
    <mergeCell ref="B133:B137"/>
    <mergeCell ref="C133:C137"/>
    <mergeCell ref="D133:D137"/>
    <mergeCell ref="E133:E137"/>
    <mergeCell ref="F133:F137"/>
    <mergeCell ref="I133:I134"/>
    <mergeCell ref="J133:J134"/>
    <mergeCell ref="K133:K134"/>
    <mergeCell ref="P131:P132"/>
    <mergeCell ref="Q131:Q132"/>
    <mergeCell ref="R131:R132"/>
    <mergeCell ref="S131:S132"/>
    <mergeCell ref="T131:T132"/>
    <mergeCell ref="U131:U132"/>
    <mergeCell ref="T128:T129"/>
    <mergeCell ref="U128:U129"/>
    <mergeCell ref="V128:V129"/>
    <mergeCell ref="I131:I132"/>
    <mergeCell ref="J131:J132"/>
    <mergeCell ref="K131:K132"/>
    <mergeCell ref="L131:L132"/>
    <mergeCell ref="M131:M132"/>
    <mergeCell ref="N131:N132"/>
    <mergeCell ref="O131:O132"/>
    <mergeCell ref="N128:N129"/>
    <mergeCell ref="O128:O129"/>
    <mergeCell ref="P128:P129"/>
    <mergeCell ref="Q128:Q129"/>
    <mergeCell ref="R128:R129"/>
    <mergeCell ref="S128:S129"/>
    <mergeCell ref="F128:F132"/>
    <mergeCell ref="I128:I129"/>
    <mergeCell ref="J128:J129"/>
    <mergeCell ref="K128:K129"/>
    <mergeCell ref="L128:L129"/>
    <mergeCell ref="M128:M129"/>
    <mergeCell ref="R126:R127"/>
    <mergeCell ref="S126:S127"/>
    <mergeCell ref="T126:T127"/>
    <mergeCell ref="U126:U127"/>
    <mergeCell ref="V126:V127"/>
    <mergeCell ref="A128:A132"/>
    <mergeCell ref="B128:B132"/>
    <mergeCell ref="C128:C132"/>
    <mergeCell ref="D128:D132"/>
    <mergeCell ref="E128:E132"/>
    <mergeCell ref="V123:V124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P123:P124"/>
    <mergeCell ref="Q123:Q124"/>
    <mergeCell ref="R123:R124"/>
    <mergeCell ref="S123:S124"/>
    <mergeCell ref="T123:T124"/>
    <mergeCell ref="U123:U124"/>
    <mergeCell ref="J123:J124"/>
    <mergeCell ref="K123:K124"/>
    <mergeCell ref="L123:L124"/>
    <mergeCell ref="M123:M124"/>
    <mergeCell ref="N123:N124"/>
    <mergeCell ref="O123:O124"/>
    <mergeCell ref="T121:T122"/>
    <mergeCell ref="U121:U122"/>
    <mergeCell ref="V121:V122"/>
    <mergeCell ref="A123:A127"/>
    <mergeCell ref="B123:B127"/>
    <mergeCell ref="C123:C127"/>
    <mergeCell ref="D123:D127"/>
    <mergeCell ref="E123:E127"/>
    <mergeCell ref="F123:F127"/>
    <mergeCell ref="I123:I124"/>
    <mergeCell ref="N121:N122"/>
    <mergeCell ref="O121:O122"/>
    <mergeCell ref="P121:P122"/>
    <mergeCell ref="Q121:Q122"/>
    <mergeCell ref="R121:R122"/>
    <mergeCell ref="S121:S122"/>
    <mergeCell ref="R118:R119"/>
    <mergeCell ref="S118:S119"/>
    <mergeCell ref="T118:T119"/>
    <mergeCell ref="U118:U119"/>
    <mergeCell ref="V118:V119"/>
    <mergeCell ref="I121:I122"/>
    <mergeCell ref="J121:J122"/>
    <mergeCell ref="K121:K122"/>
    <mergeCell ref="L121:L122"/>
    <mergeCell ref="M121:M122"/>
    <mergeCell ref="L118:L119"/>
    <mergeCell ref="M118:M119"/>
    <mergeCell ref="N118:N119"/>
    <mergeCell ref="O118:O119"/>
    <mergeCell ref="P118:P119"/>
    <mergeCell ref="Q118:Q119"/>
    <mergeCell ref="V116:V117"/>
    <mergeCell ref="A118:A122"/>
    <mergeCell ref="B118:B122"/>
    <mergeCell ref="C118:C122"/>
    <mergeCell ref="D118:D122"/>
    <mergeCell ref="E118:E122"/>
    <mergeCell ref="F118:F122"/>
    <mergeCell ref="I118:I119"/>
    <mergeCell ref="J118:J119"/>
    <mergeCell ref="K118:K119"/>
    <mergeCell ref="P116:P117"/>
    <mergeCell ref="Q116:Q117"/>
    <mergeCell ref="R116:R117"/>
    <mergeCell ref="S116:S117"/>
    <mergeCell ref="T116:T117"/>
    <mergeCell ref="U116:U117"/>
    <mergeCell ref="T113:T114"/>
    <mergeCell ref="U113:U114"/>
    <mergeCell ref="V113:V114"/>
    <mergeCell ref="I116:I117"/>
    <mergeCell ref="J116:J117"/>
    <mergeCell ref="K116:K117"/>
    <mergeCell ref="L116:L117"/>
    <mergeCell ref="M116:M117"/>
    <mergeCell ref="N116:N117"/>
    <mergeCell ref="O116:O117"/>
    <mergeCell ref="N113:N114"/>
    <mergeCell ref="O113:O114"/>
    <mergeCell ref="P113:P114"/>
    <mergeCell ref="Q113:Q114"/>
    <mergeCell ref="R113:R114"/>
    <mergeCell ref="S113:S114"/>
    <mergeCell ref="F113:F117"/>
    <mergeCell ref="I113:I114"/>
    <mergeCell ref="J113:J114"/>
    <mergeCell ref="K113:K114"/>
    <mergeCell ref="L113:L114"/>
    <mergeCell ref="M113:M114"/>
    <mergeCell ref="R111:R112"/>
    <mergeCell ref="S111:S112"/>
    <mergeCell ref="T111:T112"/>
    <mergeCell ref="U111:U112"/>
    <mergeCell ref="V111:V112"/>
    <mergeCell ref="A113:A117"/>
    <mergeCell ref="B113:B117"/>
    <mergeCell ref="C113:C117"/>
    <mergeCell ref="D113:D117"/>
    <mergeCell ref="E113:E117"/>
    <mergeCell ref="V108:V109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P108:P109"/>
    <mergeCell ref="Q108:Q109"/>
    <mergeCell ref="R108:R109"/>
    <mergeCell ref="S108:S109"/>
    <mergeCell ref="T108:T109"/>
    <mergeCell ref="U108:U109"/>
    <mergeCell ref="J108:J109"/>
    <mergeCell ref="K108:K109"/>
    <mergeCell ref="L108:L109"/>
    <mergeCell ref="M108:M109"/>
    <mergeCell ref="N108:N109"/>
    <mergeCell ref="O108:O109"/>
    <mergeCell ref="T106:T107"/>
    <mergeCell ref="U106:U107"/>
    <mergeCell ref="V106:V107"/>
    <mergeCell ref="A108:A112"/>
    <mergeCell ref="B108:B112"/>
    <mergeCell ref="C108:C112"/>
    <mergeCell ref="D108:D112"/>
    <mergeCell ref="E108:E112"/>
    <mergeCell ref="F108:F112"/>
    <mergeCell ref="I108:I109"/>
    <mergeCell ref="N106:N107"/>
    <mergeCell ref="O106:O107"/>
    <mergeCell ref="P106:P107"/>
    <mergeCell ref="Q106:Q107"/>
    <mergeCell ref="R106:R107"/>
    <mergeCell ref="S106:S107"/>
    <mergeCell ref="R103:R104"/>
    <mergeCell ref="S103:S104"/>
    <mergeCell ref="T103:T104"/>
    <mergeCell ref="U103:U104"/>
    <mergeCell ref="V103:V104"/>
    <mergeCell ref="I106:I107"/>
    <mergeCell ref="J106:J107"/>
    <mergeCell ref="K106:K107"/>
    <mergeCell ref="L106:L107"/>
    <mergeCell ref="M106:M107"/>
    <mergeCell ref="L103:L104"/>
    <mergeCell ref="M103:M104"/>
    <mergeCell ref="N103:N104"/>
    <mergeCell ref="O103:O104"/>
    <mergeCell ref="P103:P104"/>
    <mergeCell ref="Q103:Q104"/>
    <mergeCell ref="V101:V102"/>
    <mergeCell ref="A103:A107"/>
    <mergeCell ref="B103:B107"/>
    <mergeCell ref="C103:C107"/>
    <mergeCell ref="D103:D107"/>
    <mergeCell ref="E103:E107"/>
    <mergeCell ref="F103:F107"/>
    <mergeCell ref="I103:I104"/>
    <mergeCell ref="J103:J104"/>
    <mergeCell ref="K103:K104"/>
    <mergeCell ref="P101:P102"/>
    <mergeCell ref="Q101:Q102"/>
    <mergeCell ref="R101:R102"/>
    <mergeCell ref="S101:S102"/>
    <mergeCell ref="T101:T102"/>
    <mergeCell ref="U101:U102"/>
    <mergeCell ref="T98:T99"/>
    <mergeCell ref="U98:U99"/>
    <mergeCell ref="V98:V99"/>
    <mergeCell ref="I101:I102"/>
    <mergeCell ref="J101:J102"/>
    <mergeCell ref="K101:K102"/>
    <mergeCell ref="L101:L102"/>
    <mergeCell ref="M101:M102"/>
    <mergeCell ref="N101:N102"/>
    <mergeCell ref="O101:O102"/>
    <mergeCell ref="N98:N99"/>
    <mergeCell ref="O98:O99"/>
    <mergeCell ref="P98:P99"/>
    <mergeCell ref="Q98:Q99"/>
    <mergeCell ref="R98:R99"/>
    <mergeCell ref="S98:S99"/>
    <mergeCell ref="F98:F102"/>
    <mergeCell ref="I98:I99"/>
    <mergeCell ref="J98:J99"/>
    <mergeCell ref="K98:K99"/>
    <mergeCell ref="L98:L99"/>
    <mergeCell ref="M98:M99"/>
    <mergeCell ref="R96:R97"/>
    <mergeCell ref="S96:S97"/>
    <mergeCell ref="T96:T97"/>
    <mergeCell ref="U96:U97"/>
    <mergeCell ref="V96:V97"/>
    <mergeCell ref="A98:A102"/>
    <mergeCell ref="B98:B102"/>
    <mergeCell ref="C98:C102"/>
    <mergeCell ref="D98:D102"/>
    <mergeCell ref="E98:E102"/>
    <mergeCell ref="V93:V94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T91:T92"/>
    <mergeCell ref="U91:U92"/>
    <mergeCell ref="V91:V92"/>
    <mergeCell ref="A93:A97"/>
    <mergeCell ref="B93:B97"/>
    <mergeCell ref="C93:C97"/>
    <mergeCell ref="D93:D97"/>
    <mergeCell ref="E93:E97"/>
    <mergeCell ref="F93:F97"/>
    <mergeCell ref="I93:I94"/>
    <mergeCell ref="N91:N92"/>
    <mergeCell ref="O91:O92"/>
    <mergeCell ref="P91:P92"/>
    <mergeCell ref="Q91:Q92"/>
    <mergeCell ref="R91:R92"/>
    <mergeCell ref="S91:S92"/>
    <mergeCell ref="R88:R89"/>
    <mergeCell ref="S88:S89"/>
    <mergeCell ref="T88:T89"/>
    <mergeCell ref="U88:U89"/>
    <mergeCell ref="V88:V89"/>
    <mergeCell ref="I91:I92"/>
    <mergeCell ref="J91:J92"/>
    <mergeCell ref="K91:K92"/>
    <mergeCell ref="L91:L92"/>
    <mergeCell ref="M91:M92"/>
    <mergeCell ref="L88:L89"/>
    <mergeCell ref="M88:M89"/>
    <mergeCell ref="N88:N89"/>
    <mergeCell ref="O88:O89"/>
    <mergeCell ref="P88:P89"/>
    <mergeCell ref="Q88:Q89"/>
    <mergeCell ref="V86:V87"/>
    <mergeCell ref="A88:A92"/>
    <mergeCell ref="B88:B92"/>
    <mergeCell ref="C88:C92"/>
    <mergeCell ref="D88:D92"/>
    <mergeCell ref="E88:E92"/>
    <mergeCell ref="F88:F92"/>
    <mergeCell ref="I88:I89"/>
    <mergeCell ref="J88:J89"/>
    <mergeCell ref="K88:K89"/>
    <mergeCell ref="P86:P87"/>
    <mergeCell ref="Q86:Q87"/>
    <mergeCell ref="R86:R87"/>
    <mergeCell ref="S86:S87"/>
    <mergeCell ref="T86:T87"/>
    <mergeCell ref="U86:U87"/>
    <mergeCell ref="T83:T84"/>
    <mergeCell ref="U83:U84"/>
    <mergeCell ref="V83:V84"/>
    <mergeCell ref="I86:I87"/>
    <mergeCell ref="J86:J87"/>
    <mergeCell ref="K86:K87"/>
    <mergeCell ref="L86:L87"/>
    <mergeCell ref="M86:M87"/>
    <mergeCell ref="N86:N87"/>
    <mergeCell ref="O86:O87"/>
    <mergeCell ref="N83:N84"/>
    <mergeCell ref="O83:O84"/>
    <mergeCell ref="P83:P84"/>
    <mergeCell ref="Q83:Q84"/>
    <mergeCell ref="R83:R84"/>
    <mergeCell ref="S83:S84"/>
    <mergeCell ref="F83:F87"/>
    <mergeCell ref="I83:I84"/>
    <mergeCell ref="J83:J84"/>
    <mergeCell ref="K83:K84"/>
    <mergeCell ref="L83:L84"/>
    <mergeCell ref="M83:M84"/>
    <mergeCell ref="R81:R82"/>
    <mergeCell ref="S81:S82"/>
    <mergeCell ref="T81:T82"/>
    <mergeCell ref="U81:U82"/>
    <mergeCell ref="V81:V82"/>
    <mergeCell ref="A83:A87"/>
    <mergeCell ref="B83:B87"/>
    <mergeCell ref="C83:C87"/>
    <mergeCell ref="D83:D87"/>
    <mergeCell ref="E83:E87"/>
    <mergeCell ref="V78:V79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P78:P79"/>
    <mergeCell ref="Q78:Q79"/>
    <mergeCell ref="R78:R79"/>
    <mergeCell ref="S78:S79"/>
    <mergeCell ref="T78:T79"/>
    <mergeCell ref="U78:U79"/>
    <mergeCell ref="J78:J79"/>
    <mergeCell ref="K78:K79"/>
    <mergeCell ref="L78:L79"/>
    <mergeCell ref="M78:M79"/>
    <mergeCell ref="N78:N79"/>
    <mergeCell ref="O78:O79"/>
    <mergeCell ref="T76:T77"/>
    <mergeCell ref="U76:U77"/>
    <mergeCell ref="V76:V77"/>
    <mergeCell ref="A78:A82"/>
    <mergeCell ref="B78:B82"/>
    <mergeCell ref="C78:C82"/>
    <mergeCell ref="D78:D82"/>
    <mergeCell ref="E78:E82"/>
    <mergeCell ref="F78:F82"/>
    <mergeCell ref="I78:I79"/>
    <mergeCell ref="N76:N77"/>
    <mergeCell ref="O76:O77"/>
    <mergeCell ref="P76:P77"/>
    <mergeCell ref="Q76:Q77"/>
    <mergeCell ref="R76:R77"/>
    <mergeCell ref="S76:S77"/>
    <mergeCell ref="R73:R74"/>
    <mergeCell ref="S73:S74"/>
    <mergeCell ref="T73:T74"/>
    <mergeCell ref="U73:U74"/>
    <mergeCell ref="V73:V74"/>
    <mergeCell ref="I76:I77"/>
    <mergeCell ref="J76:J77"/>
    <mergeCell ref="K76:K77"/>
    <mergeCell ref="L76:L77"/>
    <mergeCell ref="M76:M77"/>
    <mergeCell ref="L73:L74"/>
    <mergeCell ref="M73:M74"/>
    <mergeCell ref="N73:N74"/>
    <mergeCell ref="O73:O74"/>
    <mergeCell ref="P73:P74"/>
    <mergeCell ref="Q73:Q74"/>
    <mergeCell ref="V71:V72"/>
    <mergeCell ref="A73:A77"/>
    <mergeCell ref="B73:B77"/>
    <mergeCell ref="C73:C77"/>
    <mergeCell ref="D73:D77"/>
    <mergeCell ref="E73:E77"/>
    <mergeCell ref="F73:F77"/>
    <mergeCell ref="I73:I74"/>
    <mergeCell ref="J73:J74"/>
    <mergeCell ref="K73:K74"/>
    <mergeCell ref="P71:P72"/>
    <mergeCell ref="Q71:Q72"/>
    <mergeCell ref="R71:R72"/>
    <mergeCell ref="S71:S72"/>
    <mergeCell ref="T71:T72"/>
    <mergeCell ref="U71:U72"/>
    <mergeCell ref="T68:T69"/>
    <mergeCell ref="U68:U69"/>
    <mergeCell ref="V68:V69"/>
    <mergeCell ref="I71:I72"/>
    <mergeCell ref="J71:J72"/>
    <mergeCell ref="K71:K72"/>
    <mergeCell ref="L71:L72"/>
    <mergeCell ref="M71:M72"/>
    <mergeCell ref="N71:N72"/>
    <mergeCell ref="O71:O72"/>
    <mergeCell ref="N68:N69"/>
    <mergeCell ref="O68:O69"/>
    <mergeCell ref="P68:P69"/>
    <mergeCell ref="Q68:Q69"/>
    <mergeCell ref="R68:R69"/>
    <mergeCell ref="S68:S69"/>
    <mergeCell ref="F68:F72"/>
    <mergeCell ref="I68:I69"/>
    <mergeCell ref="J68:J69"/>
    <mergeCell ref="K68:K69"/>
    <mergeCell ref="L68:L69"/>
    <mergeCell ref="M68:M69"/>
    <mergeCell ref="R66:R67"/>
    <mergeCell ref="S66:S67"/>
    <mergeCell ref="T66:T67"/>
    <mergeCell ref="U66:U67"/>
    <mergeCell ref="V66:V67"/>
    <mergeCell ref="A68:A72"/>
    <mergeCell ref="B68:B72"/>
    <mergeCell ref="C68:C72"/>
    <mergeCell ref="D68:D72"/>
    <mergeCell ref="E68:E72"/>
    <mergeCell ref="V63:V64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P63:P64"/>
    <mergeCell ref="Q63:Q64"/>
    <mergeCell ref="R63:R64"/>
    <mergeCell ref="S63:S64"/>
    <mergeCell ref="T63:T64"/>
    <mergeCell ref="U63:U64"/>
    <mergeCell ref="J63:J64"/>
    <mergeCell ref="K63:K64"/>
    <mergeCell ref="L63:L64"/>
    <mergeCell ref="M63:M64"/>
    <mergeCell ref="N63:N64"/>
    <mergeCell ref="O63:O64"/>
    <mergeCell ref="T61:T62"/>
    <mergeCell ref="U61:U62"/>
    <mergeCell ref="V61:V62"/>
    <mergeCell ref="A63:A67"/>
    <mergeCell ref="B63:B67"/>
    <mergeCell ref="C63:C67"/>
    <mergeCell ref="D63:D67"/>
    <mergeCell ref="E63:E67"/>
    <mergeCell ref="F63:F67"/>
    <mergeCell ref="I63:I64"/>
    <mergeCell ref="N61:N62"/>
    <mergeCell ref="O61:O62"/>
    <mergeCell ref="P61:P62"/>
    <mergeCell ref="Q61:Q62"/>
    <mergeCell ref="R61:R62"/>
    <mergeCell ref="S61:S62"/>
    <mergeCell ref="R58:R59"/>
    <mergeCell ref="S58:S59"/>
    <mergeCell ref="T58:T59"/>
    <mergeCell ref="U58:U59"/>
    <mergeCell ref="V58:V59"/>
    <mergeCell ref="I61:I62"/>
    <mergeCell ref="J61:J62"/>
    <mergeCell ref="K61:K62"/>
    <mergeCell ref="L61:L62"/>
    <mergeCell ref="M61:M62"/>
    <mergeCell ref="L58:L59"/>
    <mergeCell ref="M58:M59"/>
    <mergeCell ref="N58:N59"/>
    <mergeCell ref="O58:O59"/>
    <mergeCell ref="P58:P59"/>
    <mergeCell ref="Q58:Q59"/>
    <mergeCell ref="V56:V57"/>
    <mergeCell ref="A58:A62"/>
    <mergeCell ref="B58:B62"/>
    <mergeCell ref="C58:C62"/>
    <mergeCell ref="D58:D62"/>
    <mergeCell ref="E58:E62"/>
    <mergeCell ref="F58:F62"/>
    <mergeCell ref="I58:I59"/>
    <mergeCell ref="J58:J59"/>
    <mergeCell ref="K58:K59"/>
    <mergeCell ref="P56:P57"/>
    <mergeCell ref="Q56:Q57"/>
    <mergeCell ref="R56:R57"/>
    <mergeCell ref="S56:S57"/>
    <mergeCell ref="T56:T57"/>
    <mergeCell ref="U56:U57"/>
    <mergeCell ref="T53:T54"/>
    <mergeCell ref="U53:U54"/>
    <mergeCell ref="V53:V54"/>
    <mergeCell ref="I56:I57"/>
    <mergeCell ref="J56:J57"/>
    <mergeCell ref="K56:K57"/>
    <mergeCell ref="L56:L57"/>
    <mergeCell ref="M56:M57"/>
    <mergeCell ref="N56:N57"/>
    <mergeCell ref="O56:O57"/>
    <mergeCell ref="N53:N54"/>
    <mergeCell ref="O53:O54"/>
    <mergeCell ref="P53:P54"/>
    <mergeCell ref="Q53:Q54"/>
    <mergeCell ref="R53:R54"/>
    <mergeCell ref="S53:S54"/>
    <mergeCell ref="F53:F57"/>
    <mergeCell ref="I53:I54"/>
    <mergeCell ref="J53:J54"/>
    <mergeCell ref="K53:K54"/>
    <mergeCell ref="L53:L54"/>
    <mergeCell ref="M53:M54"/>
    <mergeCell ref="R51:R52"/>
    <mergeCell ref="S51:S52"/>
    <mergeCell ref="T51:T52"/>
    <mergeCell ref="U51:U52"/>
    <mergeCell ref="V51:V52"/>
    <mergeCell ref="A53:A57"/>
    <mergeCell ref="B53:B57"/>
    <mergeCell ref="C53:C57"/>
    <mergeCell ref="D53:D57"/>
    <mergeCell ref="E53:E57"/>
    <mergeCell ref="V48:V49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T46:T47"/>
    <mergeCell ref="U46:U47"/>
    <mergeCell ref="V46:V47"/>
    <mergeCell ref="A48:A52"/>
    <mergeCell ref="B48:B52"/>
    <mergeCell ref="C48:C52"/>
    <mergeCell ref="D48:D52"/>
    <mergeCell ref="E48:E52"/>
    <mergeCell ref="F48:F52"/>
    <mergeCell ref="I48:I49"/>
    <mergeCell ref="N46:N47"/>
    <mergeCell ref="O46:O47"/>
    <mergeCell ref="P46:P47"/>
    <mergeCell ref="Q46:Q47"/>
    <mergeCell ref="R46:R47"/>
    <mergeCell ref="S46:S47"/>
    <mergeCell ref="R43:R44"/>
    <mergeCell ref="S43:S44"/>
    <mergeCell ref="T43:T44"/>
    <mergeCell ref="U43:U44"/>
    <mergeCell ref="V43:V44"/>
    <mergeCell ref="I46:I47"/>
    <mergeCell ref="J46:J47"/>
    <mergeCell ref="K46:K47"/>
    <mergeCell ref="L46:L47"/>
    <mergeCell ref="M46:M47"/>
    <mergeCell ref="L43:L44"/>
    <mergeCell ref="M43:M44"/>
    <mergeCell ref="N43:N44"/>
    <mergeCell ref="O43:O44"/>
    <mergeCell ref="P43:P44"/>
    <mergeCell ref="Q43:Q44"/>
    <mergeCell ref="V41:V42"/>
    <mergeCell ref="A43:A47"/>
    <mergeCell ref="B43:B47"/>
    <mergeCell ref="C43:C47"/>
    <mergeCell ref="D43:D47"/>
    <mergeCell ref="E43:E47"/>
    <mergeCell ref="F43:F47"/>
    <mergeCell ref="I43:I44"/>
    <mergeCell ref="J43:J44"/>
    <mergeCell ref="K43:K44"/>
    <mergeCell ref="P41:P42"/>
    <mergeCell ref="Q41:Q42"/>
    <mergeCell ref="R41:R42"/>
    <mergeCell ref="S41:S42"/>
    <mergeCell ref="T41:T42"/>
    <mergeCell ref="U41:U42"/>
    <mergeCell ref="T38:T39"/>
    <mergeCell ref="U38:U39"/>
    <mergeCell ref="V38:V39"/>
    <mergeCell ref="I41:I42"/>
    <mergeCell ref="J41:J42"/>
    <mergeCell ref="K41:K42"/>
    <mergeCell ref="L41:L42"/>
    <mergeCell ref="M41:M42"/>
    <mergeCell ref="N41:N42"/>
    <mergeCell ref="O41:O42"/>
    <mergeCell ref="N38:N39"/>
    <mergeCell ref="O38:O39"/>
    <mergeCell ref="P38:P39"/>
    <mergeCell ref="Q38:Q39"/>
    <mergeCell ref="R38:R39"/>
    <mergeCell ref="S38:S39"/>
    <mergeCell ref="F38:F42"/>
    <mergeCell ref="I38:I39"/>
    <mergeCell ref="J38:J39"/>
    <mergeCell ref="K38:K39"/>
    <mergeCell ref="L38:L39"/>
    <mergeCell ref="M38:M39"/>
    <mergeCell ref="R36:R37"/>
    <mergeCell ref="S36:S37"/>
    <mergeCell ref="T36:T37"/>
    <mergeCell ref="U36:U37"/>
    <mergeCell ref="V36:V37"/>
    <mergeCell ref="A38:A42"/>
    <mergeCell ref="B38:B42"/>
    <mergeCell ref="C38:C42"/>
    <mergeCell ref="D38:D42"/>
    <mergeCell ref="E38:E42"/>
    <mergeCell ref="V33:V34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T31:T32"/>
    <mergeCell ref="U31:U32"/>
    <mergeCell ref="V31:V32"/>
    <mergeCell ref="A33:A37"/>
    <mergeCell ref="B33:B37"/>
    <mergeCell ref="C33:C37"/>
    <mergeCell ref="D33:D37"/>
    <mergeCell ref="E33:E37"/>
    <mergeCell ref="F33:F37"/>
    <mergeCell ref="I33:I34"/>
    <mergeCell ref="N31:N32"/>
    <mergeCell ref="O31:O32"/>
    <mergeCell ref="P31:P32"/>
    <mergeCell ref="Q31:Q32"/>
    <mergeCell ref="R31:R32"/>
    <mergeCell ref="S31:S32"/>
    <mergeCell ref="R28:R29"/>
    <mergeCell ref="S28:S29"/>
    <mergeCell ref="T28:T29"/>
    <mergeCell ref="U28:U29"/>
    <mergeCell ref="V28:V29"/>
    <mergeCell ref="I31:I32"/>
    <mergeCell ref="J31:J32"/>
    <mergeCell ref="K31:K32"/>
    <mergeCell ref="L31:L32"/>
    <mergeCell ref="M31:M32"/>
    <mergeCell ref="L28:L29"/>
    <mergeCell ref="M28:M29"/>
    <mergeCell ref="N28:N29"/>
    <mergeCell ref="O28:O29"/>
    <mergeCell ref="P28:P29"/>
    <mergeCell ref="Q28:Q29"/>
    <mergeCell ref="V26:V27"/>
    <mergeCell ref="A28:A32"/>
    <mergeCell ref="B28:B32"/>
    <mergeCell ref="C28:C32"/>
    <mergeCell ref="D28:D32"/>
    <mergeCell ref="E28:E32"/>
    <mergeCell ref="F28:F32"/>
    <mergeCell ref="I28:I29"/>
    <mergeCell ref="J28:J29"/>
    <mergeCell ref="K28:K29"/>
    <mergeCell ref="P26:P27"/>
    <mergeCell ref="Q26:Q27"/>
    <mergeCell ref="R26:R27"/>
    <mergeCell ref="S26:S27"/>
    <mergeCell ref="T26:T27"/>
    <mergeCell ref="U26:U27"/>
    <mergeCell ref="T23:T24"/>
    <mergeCell ref="U23:U24"/>
    <mergeCell ref="V23:V24"/>
    <mergeCell ref="I26:I27"/>
    <mergeCell ref="J26:J27"/>
    <mergeCell ref="K26:K27"/>
    <mergeCell ref="L26:L27"/>
    <mergeCell ref="M26:M27"/>
    <mergeCell ref="N26:N27"/>
    <mergeCell ref="O26:O27"/>
    <mergeCell ref="N23:N24"/>
    <mergeCell ref="O23:O24"/>
    <mergeCell ref="P23:P24"/>
    <mergeCell ref="Q23:Q24"/>
    <mergeCell ref="R23:R24"/>
    <mergeCell ref="S23:S24"/>
    <mergeCell ref="F23:F27"/>
    <mergeCell ref="I23:I24"/>
    <mergeCell ref="J23:J24"/>
    <mergeCell ref="K23:K24"/>
    <mergeCell ref="L23:L24"/>
    <mergeCell ref="M23:M24"/>
    <mergeCell ref="R21:R22"/>
    <mergeCell ref="S21:S22"/>
    <mergeCell ref="T21:T22"/>
    <mergeCell ref="U21:U22"/>
    <mergeCell ref="V21:V22"/>
    <mergeCell ref="A23:A27"/>
    <mergeCell ref="B23:B27"/>
    <mergeCell ref="C23:C27"/>
    <mergeCell ref="D23:D27"/>
    <mergeCell ref="E23:E27"/>
    <mergeCell ref="V18:V19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A15:V15"/>
    <mergeCell ref="A16:V16"/>
    <mergeCell ref="A17:V17"/>
    <mergeCell ref="A18:A22"/>
    <mergeCell ref="B18:B22"/>
    <mergeCell ref="C18:C22"/>
    <mergeCell ref="D18:D22"/>
    <mergeCell ref="E18:E22"/>
    <mergeCell ref="F18:F22"/>
    <mergeCell ref="I18:I19"/>
    <mergeCell ref="Q12:Q13"/>
    <mergeCell ref="R12:R13"/>
    <mergeCell ref="S12:S13"/>
    <mergeCell ref="T12:T13"/>
    <mergeCell ref="U12:U13"/>
    <mergeCell ref="V12:V13"/>
    <mergeCell ref="J12:J13"/>
    <mergeCell ref="K12:K13"/>
    <mergeCell ref="L12:L13"/>
    <mergeCell ref="N12:N13"/>
    <mergeCell ref="O12:O13"/>
    <mergeCell ref="P12:P13"/>
    <mergeCell ref="G8:G9"/>
    <mergeCell ref="H8:H9"/>
    <mergeCell ref="I8:V9"/>
    <mergeCell ref="I10:I13"/>
    <mergeCell ref="J10:L11"/>
    <mergeCell ref="M10:M13"/>
    <mergeCell ref="N10:V10"/>
    <mergeCell ref="N11:P11"/>
    <mergeCell ref="Q11:S11"/>
    <mergeCell ref="T11:V11"/>
    <mergeCell ref="T1:V1"/>
    <mergeCell ref="T2:V2"/>
    <mergeCell ref="T3:V3"/>
    <mergeCell ref="A6:V6"/>
    <mergeCell ref="A8:A13"/>
    <mergeCell ref="B8:B13"/>
    <mergeCell ref="C8:C13"/>
    <mergeCell ref="D8:D13"/>
    <mergeCell ref="E8:E13"/>
    <mergeCell ref="F8:F13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2"/>
  <sheetViews>
    <sheetView view="pageBreakPreview" topLeftCell="A368" zoomScaleNormal="100" zoomScaleSheetLayoutView="100" workbookViewId="0">
      <selection activeCell="L1" sqref="A1:L422"/>
    </sheetView>
  </sheetViews>
  <sheetFormatPr defaultColWidth="8.875" defaultRowHeight="12.75"/>
  <cols>
    <col min="1" max="1" width="4" style="84" customWidth="1"/>
    <col min="2" max="2" width="6" style="85" customWidth="1"/>
    <col min="3" max="3" width="8.25" style="85" customWidth="1"/>
    <col min="4" max="4" width="38.375" style="85" customWidth="1"/>
    <col min="5" max="5" width="10" style="85" customWidth="1"/>
    <col min="6" max="6" width="2" style="85" customWidth="1"/>
    <col min="7" max="7" width="11.75" style="85" customWidth="1"/>
    <col min="8" max="8" width="11.5" style="85" customWidth="1"/>
    <col min="9" max="9" width="12" style="85" customWidth="1"/>
    <col min="10" max="10" width="12.75" style="85" customWidth="1"/>
    <col min="11" max="11" width="11.875" style="85" customWidth="1"/>
    <col min="12" max="12" width="30" style="85" customWidth="1"/>
    <col min="13" max="16384" width="8.875" style="85"/>
  </cols>
  <sheetData>
    <row r="1" spans="1:16" s="87" customFormat="1" ht="14.25" customHeight="1">
      <c r="A1" s="86"/>
      <c r="K1" s="88" t="s">
        <v>1042</v>
      </c>
      <c r="L1" s="89"/>
    </row>
    <row r="2" spans="1:16" s="91" customFormat="1" ht="14.2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88" t="s">
        <v>1043</v>
      </c>
      <c r="L2" s="90"/>
    </row>
    <row r="3" spans="1:16" s="91" customFormat="1" ht="14.2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88" t="s">
        <v>1044</v>
      </c>
      <c r="L3" s="90"/>
    </row>
    <row r="4" spans="1:16" s="93" customFormat="1" ht="4.9000000000000004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6" s="95" customFormat="1" ht="30" customHeight="1">
      <c r="A5" s="1208" t="s">
        <v>227</v>
      </c>
      <c r="B5" s="1208"/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94"/>
      <c r="N5" s="94"/>
      <c r="O5" s="94"/>
      <c r="P5" s="94"/>
    </row>
    <row r="6" spans="1:16" ht="13.15" customHeight="1">
      <c r="G6" s="96"/>
      <c r="L6" s="97" t="s">
        <v>2</v>
      </c>
    </row>
    <row r="7" spans="1:16" s="98" customFormat="1" ht="12.75" customHeight="1">
      <c r="A7" s="1205" t="s">
        <v>228</v>
      </c>
      <c r="B7" s="1205" t="s">
        <v>216</v>
      </c>
      <c r="C7" s="1205" t="s">
        <v>223</v>
      </c>
      <c r="D7" s="1205" t="s">
        <v>229</v>
      </c>
      <c r="E7" s="1205" t="s">
        <v>230</v>
      </c>
      <c r="F7" s="1205" t="s">
        <v>5</v>
      </c>
      <c r="G7" s="1205" t="s">
        <v>231</v>
      </c>
      <c r="H7" s="1205" t="s">
        <v>232</v>
      </c>
      <c r="I7" s="1206" t="s">
        <v>233</v>
      </c>
      <c r="J7" s="1206"/>
      <c r="K7" s="1206"/>
      <c r="L7" s="1205" t="s">
        <v>234</v>
      </c>
    </row>
    <row r="8" spans="1:16" s="98" customFormat="1" ht="12.75" customHeight="1">
      <c r="A8" s="1205"/>
      <c r="B8" s="1205"/>
      <c r="C8" s="1205"/>
      <c r="D8" s="1205"/>
      <c r="E8" s="1205"/>
      <c r="F8" s="1205"/>
      <c r="G8" s="1205"/>
      <c r="H8" s="1205"/>
      <c r="I8" s="1205" t="s">
        <v>235</v>
      </c>
      <c r="J8" s="1207" t="s">
        <v>236</v>
      </c>
      <c r="K8" s="1207"/>
      <c r="L8" s="1205"/>
    </row>
    <row r="9" spans="1:16" s="98" customFormat="1" ht="12.75" customHeight="1">
      <c r="A9" s="1205"/>
      <c r="B9" s="1205"/>
      <c r="C9" s="1205"/>
      <c r="D9" s="1205"/>
      <c r="E9" s="1205"/>
      <c r="F9" s="1205"/>
      <c r="G9" s="1205"/>
      <c r="H9" s="1205"/>
      <c r="I9" s="1205"/>
      <c r="J9" s="1205" t="s">
        <v>237</v>
      </c>
      <c r="K9" s="1205" t="s">
        <v>238</v>
      </c>
      <c r="L9" s="1205"/>
    </row>
    <row r="10" spans="1:16" s="99" customFormat="1" ht="21.75" customHeight="1">
      <c r="A10" s="1205"/>
      <c r="B10" s="1205"/>
      <c r="C10" s="1205"/>
      <c r="D10" s="1205"/>
      <c r="E10" s="1205"/>
      <c r="F10" s="1205"/>
      <c r="G10" s="1205"/>
      <c r="H10" s="1205"/>
      <c r="I10" s="1205"/>
      <c r="J10" s="1205"/>
      <c r="K10" s="1205"/>
      <c r="L10" s="1205"/>
    </row>
    <row r="11" spans="1:16" s="101" customFormat="1">
      <c r="A11" s="100">
        <v>1</v>
      </c>
      <c r="B11" s="100">
        <v>2</v>
      </c>
      <c r="C11" s="100">
        <v>3</v>
      </c>
      <c r="D11" s="100">
        <v>4</v>
      </c>
      <c r="E11" s="100">
        <v>5</v>
      </c>
      <c r="F11" s="100"/>
      <c r="G11" s="100">
        <v>6</v>
      </c>
      <c r="H11" s="100">
        <v>7</v>
      </c>
      <c r="I11" s="100">
        <v>8</v>
      </c>
      <c r="J11" s="100">
        <v>9</v>
      </c>
      <c r="K11" s="100">
        <v>10</v>
      </c>
      <c r="L11" s="100">
        <v>11</v>
      </c>
    </row>
    <row r="12" spans="1:16" ht="3.75" customHeight="1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2"/>
      <c r="L12" s="103"/>
    </row>
    <row r="13" spans="1:16" s="106" customFormat="1" ht="15" customHeight="1">
      <c r="A13" s="1187"/>
      <c r="B13" s="1187"/>
      <c r="C13" s="1187"/>
      <c r="D13" s="1189" t="s">
        <v>20</v>
      </c>
      <c r="E13" s="1187" t="s">
        <v>239</v>
      </c>
      <c r="F13" s="104" t="s">
        <v>21</v>
      </c>
      <c r="G13" s="1187" t="s">
        <v>239</v>
      </c>
      <c r="H13" s="1187" t="s">
        <v>239</v>
      </c>
      <c r="I13" s="105">
        <f t="shared" ref="I13:K14" si="0">I254+I393+I399+I405+I411</f>
        <v>408774585</v>
      </c>
      <c r="J13" s="105">
        <f t="shared" si="0"/>
        <v>150842236</v>
      </c>
      <c r="K13" s="105">
        <f t="shared" si="0"/>
        <v>257932349</v>
      </c>
      <c r="L13" s="1187" t="s">
        <v>239</v>
      </c>
    </row>
    <row r="14" spans="1:16" s="106" customFormat="1" ht="15" customHeight="1">
      <c r="A14" s="1187"/>
      <c r="B14" s="1187"/>
      <c r="C14" s="1187"/>
      <c r="D14" s="1189"/>
      <c r="E14" s="1187"/>
      <c r="F14" s="104" t="s">
        <v>22</v>
      </c>
      <c r="G14" s="1187"/>
      <c r="H14" s="1187"/>
      <c r="I14" s="105">
        <f t="shared" si="0"/>
        <v>-98192603</v>
      </c>
      <c r="J14" s="105">
        <f t="shared" si="0"/>
        <v>-8336182</v>
      </c>
      <c r="K14" s="105">
        <f t="shared" si="0"/>
        <v>-89856421</v>
      </c>
      <c r="L14" s="1187"/>
    </row>
    <row r="15" spans="1:16" s="106" customFormat="1" ht="15" customHeight="1">
      <c r="A15" s="1187"/>
      <c r="B15" s="1187"/>
      <c r="C15" s="1187"/>
      <c r="D15" s="1189"/>
      <c r="E15" s="1187"/>
      <c r="F15" s="104" t="s">
        <v>23</v>
      </c>
      <c r="G15" s="1187"/>
      <c r="H15" s="1187"/>
      <c r="I15" s="105">
        <f>I13+I14</f>
        <v>310581982</v>
      </c>
      <c r="J15" s="105">
        <f>J13+J14</f>
        <v>142506054</v>
      </c>
      <c r="K15" s="105">
        <f>K13+K14</f>
        <v>168075928</v>
      </c>
      <c r="L15" s="1187"/>
    </row>
    <row r="16" spans="1:16" ht="3.75" customHeight="1">
      <c r="A16" s="102"/>
      <c r="B16" s="103"/>
      <c r="C16" s="103"/>
      <c r="D16" s="107"/>
      <c r="E16" s="108"/>
      <c r="F16" s="108"/>
      <c r="G16" s="103"/>
      <c r="H16" s="103"/>
      <c r="I16" s="103"/>
      <c r="J16" s="103"/>
      <c r="K16" s="102"/>
      <c r="L16" s="103"/>
    </row>
    <row r="17" spans="1:12" s="109" customFormat="1" ht="20.45" customHeight="1">
      <c r="A17" s="104" t="s">
        <v>240</v>
      </c>
      <c r="B17" s="1189" t="s">
        <v>241</v>
      </c>
      <c r="C17" s="1189"/>
      <c r="D17" s="1189"/>
      <c r="E17" s="1189"/>
      <c r="F17" s="1189"/>
      <c r="G17" s="1189"/>
      <c r="H17" s="1189"/>
      <c r="I17" s="1189"/>
      <c r="J17" s="1189"/>
      <c r="K17" s="1189"/>
      <c r="L17" s="1189"/>
    </row>
    <row r="18" spans="1:12" ht="5.25" customHeight="1">
      <c r="A18" s="102"/>
      <c r="B18" s="110"/>
      <c r="C18" s="110"/>
      <c r="D18" s="103"/>
      <c r="E18" s="103"/>
      <c r="F18" s="103"/>
      <c r="G18" s="103"/>
      <c r="H18" s="103"/>
      <c r="I18" s="103"/>
      <c r="J18" s="103"/>
      <c r="K18" s="102"/>
      <c r="L18" s="103"/>
    </row>
    <row r="19" spans="1:12" s="113" customFormat="1" hidden="1">
      <c r="A19" s="1188"/>
      <c r="B19" s="1197" t="s">
        <v>24</v>
      </c>
      <c r="C19" s="1197"/>
      <c r="D19" s="1199" t="s">
        <v>25</v>
      </c>
      <c r="E19" s="1188" t="s">
        <v>239</v>
      </c>
      <c r="F19" s="111" t="s">
        <v>21</v>
      </c>
      <c r="G19" s="112">
        <f>G22</f>
        <v>6000000</v>
      </c>
      <c r="H19" s="1185" t="s">
        <v>239</v>
      </c>
      <c r="I19" s="112">
        <f t="shared" ref="I19:K20" si="1">I22</f>
        <v>6000000</v>
      </c>
      <c r="J19" s="112">
        <f t="shared" si="1"/>
        <v>6000000</v>
      </c>
      <c r="K19" s="112">
        <f t="shared" si="1"/>
        <v>0</v>
      </c>
      <c r="L19" s="1188" t="s">
        <v>239</v>
      </c>
    </row>
    <row r="20" spans="1:12" s="113" customFormat="1" hidden="1">
      <c r="A20" s="1188"/>
      <c r="B20" s="1197"/>
      <c r="C20" s="1197"/>
      <c r="D20" s="1199"/>
      <c r="E20" s="1188"/>
      <c r="F20" s="111" t="s">
        <v>22</v>
      </c>
      <c r="G20" s="112">
        <f>G23</f>
        <v>0</v>
      </c>
      <c r="H20" s="1185"/>
      <c r="I20" s="112">
        <f t="shared" si="1"/>
        <v>0</v>
      </c>
      <c r="J20" s="112">
        <f t="shared" si="1"/>
        <v>0</v>
      </c>
      <c r="K20" s="112">
        <f t="shared" si="1"/>
        <v>0</v>
      </c>
      <c r="L20" s="1188"/>
    </row>
    <row r="21" spans="1:12" s="113" customFormat="1" hidden="1">
      <c r="A21" s="1188"/>
      <c r="B21" s="1197"/>
      <c r="C21" s="1197"/>
      <c r="D21" s="1199"/>
      <c r="E21" s="1188"/>
      <c r="F21" s="111" t="s">
        <v>23</v>
      </c>
      <c r="G21" s="112">
        <f>G19+G20</f>
        <v>6000000</v>
      </c>
      <c r="H21" s="1185"/>
      <c r="I21" s="112">
        <f>I19+I20</f>
        <v>6000000</v>
      </c>
      <c r="J21" s="112">
        <f>J19+J20</f>
        <v>6000000</v>
      </c>
      <c r="K21" s="112">
        <f>K19+K20</f>
        <v>0</v>
      </c>
      <c r="L21" s="1188"/>
    </row>
    <row r="22" spans="1:12" s="87" customFormat="1" ht="21.6" hidden="1" customHeight="1">
      <c r="A22" s="1194">
        <v>1</v>
      </c>
      <c r="B22" s="1195"/>
      <c r="C22" s="1195" t="s">
        <v>34</v>
      </c>
      <c r="D22" s="1184" t="s">
        <v>242</v>
      </c>
      <c r="E22" s="1194">
        <v>2020</v>
      </c>
      <c r="F22" s="114" t="s">
        <v>21</v>
      </c>
      <c r="G22" s="117">
        <v>6000000</v>
      </c>
      <c r="H22" s="1193" t="s">
        <v>239</v>
      </c>
      <c r="I22" s="117">
        <f>J22+K22</f>
        <v>6000000</v>
      </c>
      <c r="J22" s="117">
        <v>6000000</v>
      </c>
      <c r="K22" s="117">
        <v>0</v>
      </c>
      <c r="L22" s="1184" t="s">
        <v>243</v>
      </c>
    </row>
    <row r="23" spans="1:12" s="87" customFormat="1" ht="21.6" hidden="1" customHeight="1">
      <c r="A23" s="1194"/>
      <c r="B23" s="1195"/>
      <c r="C23" s="1195"/>
      <c r="D23" s="1184"/>
      <c r="E23" s="1194"/>
      <c r="F23" s="114" t="s">
        <v>22</v>
      </c>
      <c r="G23" s="117"/>
      <c r="H23" s="1193"/>
      <c r="I23" s="117">
        <f>J23+K23</f>
        <v>0</v>
      </c>
      <c r="J23" s="117"/>
      <c r="K23" s="117"/>
      <c r="L23" s="1184"/>
    </row>
    <row r="24" spans="1:12" s="87" customFormat="1" ht="13.15" hidden="1" customHeight="1">
      <c r="A24" s="1194"/>
      <c r="B24" s="1195"/>
      <c r="C24" s="1195"/>
      <c r="D24" s="1184"/>
      <c r="E24" s="1194"/>
      <c r="F24" s="114" t="s">
        <v>23</v>
      </c>
      <c r="G24" s="117">
        <f>G22+G23</f>
        <v>6000000</v>
      </c>
      <c r="H24" s="1193"/>
      <c r="I24" s="117">
        <f>I22+I23</f>
        <v>6000000</v>
      </c>
      <c r="J24" s="117">
        <f>J22+J23</f>
        <v>6000000</v>
      </c>
      <c r="K24" s="117">
        <f>K22+K23</f>
        <v>0</v>
      </c>
      <c r="L24" s="1184"/>
    </row>
    <row r="25" spans="1:12" s="113" customFormat="1">
      <c r="A25" s="1188"/>
      <c r="B25" s="1197" t="s">
        <v>56</v>
      </c>
      <c r="C25" s="1197"/>
      <c r="D25" s="1199" t="s">
        <v>57</v>
      </c>
      <c r="E25" s="1188" t="s">
        <v>239</v>
      </c>
      <c r="F25" s="111" t="s">
        <v>21</v>
      </c>
      <c r="G25" s="112">
        <f>G28+G31+G34+G40+G46+G43+G49+G52+G55+G58+G37</f>
        <v>27567821</v>
      </c>
      <c r="H25" s="1185" t="s">
        <v>239</v>
      </c>
      <c r="I25" s="112">
        <f t="shared" ref="I25:K26" si="2">I28+I31+I34+I40+I46+I43+I49+I52+I55+I58+I37</f>
        <v>27567821</v>
      </c>
      <c r="J25" s="112">
        <f t="shared" si="2"/>
        <v>25115526</v>
      </c>
      <c r="K25" s="112">
        <f t="shared" si="2"/>
        <v>2452295</v>
      </c>
      <c r="L25" s="1188" t="s">
        <v>239</v>
      </c>
    </row>
    <row r="26" spans="1:12" s="113" customFormat="1">
      <c r="A26" s="1188"/>
      <c r="B26" s="1197"/>
      <c r="C26" s="1197"/>
      <c r="D26" s="1199"/>
      <c r="E26" s="1188"/>
      <c r="F26" s="111" t="s">
        <v>22</v>
      </c>
      <c r="G26" s="112">
        <f>G29+G32+G35+G41+G47+G44+G50+G53+G56+G59+G38</f>
        <v>1951861</v>
      </c>
      <c r="H26" s="1185"/>
      <c r="I26" s="112">
        <f t="shared" si="2"/>
        <v>1951861</v>
      </c>
      <c r="J26" s="112">
        <f t="shared" si="2"/>
        <v>1918261</v>
      </c>
      <c r="K26" s="112">
        <f t="shared" si="2"/>
        <v>33600</v>
      </c>
      <c r="L26" s="1188"/>
    </row>
    <row r="27" spans="1:12" s="113" customFormat="1">
      <c r="A27" s="1188"/>
      <c r="B27" s="1197"/>
      <c r="C27" s="1197"/>
      <c r="D27" s="1199"/>
      <c r="E27" s="1188"/>
      <c r="F27" s="111" t="s">
        <v>23</v>
      </c>
      <c r="G27" s="112">
        <f>G25+G26</f>
        <v>29519682</v>
      </c>
      <c r="H27" s="1185"/>
      <c r="I27" s="112">
        <f>I25+I26</f>
        <v>29519682</v>
      </c>
      <c r="J27" s="112">
        <f>J25+J26</f>
        <v>27033787</v>
      </c>
      <c r="K27" s="112">
        <f>K25+K26</f>
        <v>2485895</v>
      </c>
      <c r="L27" s="1188"/>
    </row>
    <row r="28" spans="1:12" s="87" customFormat="1" ht="13.15" hidden="1" customHeight="1">
      <c r="A28" s="1194">
        <v>1</v>
      </c>
      <c r="B28" s="1195"/>
      <c r="C28" s="1195" t="s">
        <v>65</v>
      </c>
      <c r="D28" s="1184" t="s">
        <v>244</v>
      </c>
      <c r="E28" s="1194">
        <v>2020</v>
      </c>
      <c r="F28" s="114" t="s">
        <v>21</v>
      </c>
      <c r="G28" s="117">
        <v>10545354</v>
      </c>
      <c r="H28" s="1193" t="s">
        <v>239</v>
      </c>
      <c r="I28" s="117">
        <f>J28+K28</f>
        <v>10545354</v>
      </c>
      <c r="J28" s="117">
        <v>10445354</v>
      </c>
      <c r="K28" s="117">
        <v>100000</v>
      </c>
      <c r="L28" s="1184" t="s">
        <v>245</v>
      </c>
    </row>
    <row r="29" spans="1:12" s="87" customFormat="1" hidden="1">
      <c r="A29" s="1194"/>
      <c r="B29" s="1195"/>
      <c r="C29" s="1195"/>
      <c r="D29" s="1184"/>
      <c r="E29" s="1194"/>
      <c r="F29" s="114" t="s">
        <v>22</v>
      </c>
      <c r="G29" s="117"/>
      <c r="H29" s="1193"/>
      <c r="I29" s="117">
        <f>J29+K29</f>
        <v>0</v>
      </c>
      <c r="J29" s="117"/>
      <c r="K29" s="117"/>
      <c r="L29" s="1184"/>
    </row>
    <row r="30" spans="1:12" s="87" customFormat="1" hidden="1">
      <c r="A30" s="1194"/>
      <c r="B30" s="1195"/>
      <c r="C30" s="1195"/>
      <c r="D30" s="1184"/>
      <c r="E30" s="1194"/>
      <c r="F30" s="114" t="s">
        <v>23</v>
      </c>
      <c r="G30" s="117">
        <f>G28+G29</f>
        <v>10545354</v>
      </c>
      <c r="H30" s="1193"/>
      <c r="I30" s="117">
        <f>I28+I29</f>
        <v>10545354</v>
      </c>
      <c r="J30" s="117">
        <f>J28+J29</f>
        <v>10445354</v>
      </c>
      <c r="K30" s="117">
        <f>K28+K29</f>
        <v>100000</v>
      </c>
      <c r="L30" s="1184"/>
    </row>
    <row r="31" spans="1:12" s="87" customFormat="1" ht="13.15" hidden="1" customHeight="1">
      <c r="A31" s="1194">
        <v>3</v>
      </c>
      <c r="B31" s="1195"/>
      <c r="C31" s="1195" t="s">
        <v>65</v>
      </c>
      <c r="D31" s="1184" t="s">
        <v>246</v>
      </c>
      <c r="E31" s="1194">
        <v>2020</v>
      </c>
      <c r="F31" s="114" t="s">
        <v>21</v>
      </c>
      <c r="G31" s="117">
        <v>3500000</v>
      </c>
      <c r="H31" s="1193" t="s">
        <v>239</v>
      </c>
      <c r="I31" s="117">
        <f>J31+K31</f>
        <v>3500000</v>
      </c>
      <c r="J31" s="117">
        <v>3500000</v>
      </c>
      <c r="K31" s="117">
        <v>0</v>
      </c>
      <c r="L31" s="1184" t="s">
        <v>245</v>
      </c>
    </row>
    <row r="32" spans="1:12" s="87" customFormat="1" hidden="1">
      <c r="A32" s="1194"/>
      <c r="B32" s="1195"/>
      <c r="C32" s="1195"/>
      <c r="D32" s="1184"/>
      <c r="E32" s="1194"/>
      <c r="F32" s="114" t="s">
        <v>22</v>
      </c>
      <c r="G32" s="117"/>
      <c r="H32" s="1193"/>
      <c r="I32" s="117">
        <f>J32+K32</f>
        <v>0</v>
      </c>
      <c r="J32" s="117"/>
      <c r="K32" s="117"/>
      <c r="L32" s="1184"/>
    </row>
    <row r="33" spans="1:12" s="87" customFormat="1" hidden="1">
      <c r="A33" s="1194"/>
      <c r="B33" s="1195"/>
      <c r="C33" s="1195"/>
      <c r="D33" s="1184"/>
      <c r="E33" s="1194"/>
      <c r="F33" s="114" t="s">
        <v>23</v>
      </c>
      <c r="G33" s="117">
        <f>G31+G32</f>
        <v>3500000</v>
      </c>
      <c r="H33" s="1193"/>
      <c r="I33" s="117">
        <f>I31+I32</f>
        <v>3500000</v>
      </c>
      <c r="J33" s="117">
        <f>J31+J32</f>
        <v>3500000</v>
      </c>
      <c r="K33" s="117">
        <f>K31+K32</f>
        <v>0</v>
      </c>
      <c r="L33" s="1184"/>
    </row>
    <row r="34" spans="1:12" s="87" customFormat="1" ht="13.9" customHeight="1">
      <c r="A34" s="1194">
        <v>1</v>
      </c>
      <c r="B34" s="1195"/>
      <c r="C34" s="1195" t="s">
        <v>65</v>
      </c>
      <c r="D34" s="1184" t="s">
        <v>247</v>
      </c>
      <c r="E34" s="1194">
        <v>2020</v>
      </c>
      <c r="F34" s="114" t="s">
        <v>21</v>
      </c>
      <c r="G34" s="117">
        <v>3436038</v>
      </c>
      <c r="H34" s="1193" t="s">
        <v>239</v>
      </c>
      <c r="I34" s="117">
        <f>J34+K34</f>
        <v>3436038</v>
      </c>
      <c r="J34" s="117">
        <v>1442056</v>
      </c>
      <c r="K34" s="117">
        <v>1993982</v>
      </c>
      <c r="L34" s="1184" t="s">
        <v>245</v>
      </c>
    </row>
    <row r="35" spans="1:12" s="87" customFormat="1" ht="13.9" customHeight="1">
      <c r="A35" s="1194"/>
      <c r="B35" s="1195"/>
      <c r="C35" s="1195"/>
      <c r="D35" s="1184"/>
      <c r="E35" s="1194"/>
      <c r="F35" s="114" t="s">
        <v>22</v>
      </c>
      <c r="G35" s="117">
        <v>-112735</v>
      </c>
      <c r="H35" s="1193"/>
      <c r="I35" s="117">
        <f>J35+K35</f>
        <v>-112735</v>
      </c>
      <c r="J35" s="117">
        <v>-112735</v>
      </c>
      <c r="K35" s="117"/>
      <c r="L35" s="1184"/>
    </row>
    <row r="36" spans="1:12" s="87" customFormat="1" ht="13.9" customHeight="1">
      <c r="A36" s="1194"/>
      <c r="B36" s="1195"/>
      <c r="C36" s="1195"/>
      <c r="D36" s="1184"/>
      <c r="E36" s="1194"/>
      <c r="F36" s="114" t="s">
        <v>23</v>
      </c>
      <c r="G36" s="117">
        <f>G34+G35</f>
        <v>3323303</v>
      </c>
      <c r="H36" s="1193"/>
      <c r="I36" s="117">
        <f>I34+I35</f>
        <v>3323303</v>
      </c>
      <c r="J36" s="117">
        <f>J34+J35</f>
        <v>1329321</v>
      </c>
      <c r="K36" s="117">
        <f>K34+K35</f>
        <v>1993982</v>
      </c>
      <c r="L36" s="1184"/>
    </row>
    <row r="37" spans="1:12" s="87" customFormat="1" ht="30.75" customHeight="1">
      <c r="A37" s="1194">
        <v>2</v>
      </c>
      <c r="B37" s="1195"/>
      <c r="C37" s="1195" t="s">
        <v>65</v>
      </c>
      <c r="D37" s="1184" t="s">
        <v>248</v>
      </c>
      <c r="E37" s="1194">
        <v>2020</v>
      </c>
      <c r="F37" s="114" t="s">
        <v>21</v>
      </c>
      <c r="G37" s="117">
        <v>641985</v>
      </c>
      <c r="H37" s="1193" t="s">
        <v>239</v>
      </c>
      <c r="I37" s="117">
        <f>J37+K37</f>
        <v>641985</v>
      </c>
      <c r="J37" s="117">
        <v>283672</v>
      </c>
      <c r="K37" s="117">
        <v>358313</v>
      </c>
      <c r="L37" s="1184" t="s">
        <v>245</v>
      </c>
    </row>
    <row r="38" spans="1:12" s="87" customFormat="1" ht="30.75" customHeight="1">
      <c r="A38" s="1194"/>
      <c r="B38" s="1195"/>
      <c r="C38" s="1195"/>
      <c r="D38" s="1184"/>
      <c r="E38" s="1194"/>
      <c r="F38" s="114" t="s">
        <v>22</v>
      </c>
      <c r="G38" s="117">
        <f>33600-22397</f>
        <v>11203</v>
      </c>
      <c r="H38" s="1193"/>
      <c r="I38" s="117">
        <f>J38+K38</f>
        <v>11203</v>
      </c>
      <c r="J38" s="117">
        <v>-22397</v>
      </c>
      <c r="K38" s="117">
        <v>33600</v>
      </c>
      <c r="L38" s="1184"/>
    </row>
    <row r="39" spans="1:12" s="87" customFormat="1" ht="30.75" customHeight="1">
      <c r="A39" s="1194"/>
      <c r="B39" s="1195"/>
      <c r="C39" s="1195"/>
      <c r="D39" s="1184"/>
      <c r="E39" s="1194"/>
      <c r="F39" s="114" t="s">
        <v>23</v>
      </c>
      <c r="G39" s="117">
        <f>G37+G38</f>
        <v>653188</v>
      </c>
      <c r="H39" s="1193"/>
      <c r="I39" s="117">
        <f>I37+I38</f>
        <v>653188</v>
      </c>
      <c r="J39" s="117">
        <f>J37+J38</f>
        <v>261275</v>
      </c>
      <c r="K39" s="117">
        <f>K37+K38</f>
        <v>391913</v>
      </c>
      <c r="L39" s="1184"/>
    </row>
    <row r="40" spans="1:12" s="87" customFormat="1" ht="13.15" customHeight="1">
      <c r="A40" s="1194">
        <v>3</v>
      </c>
      <c r="B40" s="1195"/>
      <c r="C40" s="1195" t="s">
        <v>65</v>
      </c>
      <c r="D40" s="1184" t="s">
        <v>249</v>
      </c>
      <c r="E40" s="1194">
        <v>2020</v>
      </c>
      <c r="F40" s="114" t="s">
        <v>21</v>
      </c>
      <c r="G40" s="117">
        <v>2000000</v>
      </c>
      <c r="H40" s="1193" t="s">
        <v>239</v>
      </c>
      <c r="I40" s="117">
        <f>J40+K40</f>
        <v>2000000</v>
      </c>
      <c r="J40" s="117">
        <v>2000000</v>
      </c>
      <c r="K40" s="117">
        <v>0</v>
      </c>
      <c r="L40" s="1184" t="s">
        <v>245</v>
      </c>
    </row>
    <row r="41" spans="1:12" s="87" customFormat="1" ht="12.6" customHeight="1">
      <c r="A41" s="1194"/>
      <c r="B41" s="1195"/>
      <c r="C41" s="1195"/>
      <c r="D41" s="1184"/>
      <c r="E41" s="1194"/>
      <c r="F41" s="114" t="s">
        <v>22</v>
      </c>
      <c r="G41" s="117">
        <v>-145875</v>
      </c>
      <c r="H41" s="1193"/>
      <c r="I41" s="117">
        <f>J41+K41</f>
        <v>-145875</v>
      </c>
      <c r="J41" s="117">
        <v>-145875</v>
      </c>
      <c r="K41" s="117"/>
      <c r="L41" s="1184"/>
    </row>
    <row r="42" spans="1:12" s="87" customFormat="1">
      <c r="A42" s="1194"/>
      <c r="B42" s="1195"/>
      <c r="C42" s="1195"/>
      <c r="D42" s="1184"/>
      <c r="E42" s="1194"/>
      <c r="F42" s="114" t="s">
        <v>23</v>
      </c>
      <c r="G42" s="117">
        <f>G40+G41</f>
        <v>1854125</v>
      </c>
      <c r="H42" s="1193"/>
      <c r="I42" s="117">
        <f>I40+I41</f>
        <v>1854125</v>
      </c>
      <c r="J42" s="117">
        <f>J40+J41</f>
        <v>1854125</v>
      </c>
      <c r="K42" s="117">
        <f>K40+K41</f>
        <v>0</v>
      </c>
      <c r="L42" s="1184"/>
    </row>
    <row r="43" spans="1:12" s="87" customFormat="1" ht="15.6" hidden="1" customHeight="1">
      <c r="A43" s="1194">
        <v>5</v>
      </c>
      <c r="B43" s="1195"/>
      <c r="C43" s="1195" t="s">
        <v>65</v>
      </c>
      <c r="D43" s="1184" t="s">
        <v>250</v>
      </c>
      <c r="E43" s="1194">
        <v>2020</v>
      </c>
      <c r="F43" s="114" t="s">
        <v>21</v>
      </c>
      <c r="G43" s="117">
        <v>0</v>
      </c>
      <c r="H43" s="1193" t="s">
        <v>239</v>
      </c>
      <c r="I43" s="117">
        <f>J43+K43</f>
        <v>0</v>
      </c>
      <c r="J43" s="117">
        <v>0</v>
      </c>
      <c r="K43" s="117">
        <v>0</v>
      </c>
      <c r="L43" s="1184" t="s">
        <v>245</v>
      </c>
    </row>
    <row r="44" spans="1:12" s="87" customFormat="1" ht="15.6" hidden="1" customHeight="1">
      <c r="A44" s="1194"/>
      <c r="B44" s="1195"/>
      <c r="C44" s="1195"/>
      <c r="D44" s="1184"/>
      <c r="E44" s="1194"/>
      <c r="F44" s="114" t="s">
        <v>22</v>
      </c>
      <c r="G44" s="117"/>
      <c r="H44" s="1193"/>
      <c r="I44" s="117">
        <f>J44+K44</f>
        <v>0</v>
      </c>
      <c r="J44" s="117"/>
      <c r="K44" s="117"/>
      <c r="L44" s="1184"/>
    </row>
    <row r="45" spans="1:12" s="87" customFormat="1" ht="15.6" hidden="1" customHeight="1">
      <c r="A45" s="1194"/>
      <c r="B45" s="1195"/>
      <c r="C45" s="1195"/>
      <c r="D45" s="1184"/>
      <c r="E45" s="1194"/>
      <c r="F45" s="114" t="s">
        <v>23</v>
      </c>
      <c r="G45" s="117">
        <f>G43+G44</f>
        <v>0</v>
      </c>
      <c r="H45" s="1193"/>
      <c r="I45" s="117">
        <f>I43+I44</f>
        <v>0</v>
      </c>
      <c r="J45" s="117">
        <f>J43+J44</f>
        <v>0</v>
      </c>
      <c r="K45" s="117">
        <f>K43+K44</f>
        <v>0</v>
      </c>
      <c r="L45" s="1184"/>
    </row>
    <row r="46" spans="1:12" s="87" customFormat="1" ht="13.15" customHeight="1">
      <c r="A46" s="1194">
        <v>4</v>
      </c>
      <c r="B46" s="1195"/>
      <c r="C46" s="1195" t="s">
        <v>65</v>
      </c>
      <c r="D46" s="1184" t="s">
        <v>251</v>
      </c>
      <c r="E46" s="1194">
        <v>2020</v>
      </c>
      <c r="F46" s="114" t="s">
        <v>21</v>
      </c>
      <c r="G46" s="117">
        <v>365000</v>
      </c>
      <c r="H46" s="1193" t="s">
        <v>239</v>
      </c>
      <c r="I46" s="117">
        <f>J46+K46</f>
        <v>365000</v>
      </c>
      <c r="J46" s="117">
        <v>365000</v>
      </c>
      <c r="K46" s="117">
        <v>0</v>
      </c>
      <c r="L46" s="1184" t="s">
        <v>245</v>
      </c>
    </row>
    <row r="47" spans="1:12" s="87" customFormat="1">
      <c r="A47" s="1194"/>
      <c r="B47" s="1195"/>
      <c r="C47" s="1195"/>
      <c r="D47" s="1184"/>
      <c r="E47" s="1194"/>
      <c r="F47" s="114" t="s">
        <v>22</v>
      </c>
      <c r="G47" s="117">
        <v>2635000</v>
      </c>
      <c r="H47" s="1193"/>
      <c r="I47" s="117">
        <f>J47+K47</f>
        <v>2635000</v>
      </c>
      <c r="J47" s="117">
        <v>2635000</v>
      </c>
      <c r="K47" s="117"/>
      <c r="L47" s="1184"/>
    </row>
    <row r="48" spans="1:12" s="87" customFormat="1">
      <c r="A48" s="1194"/>
      <c r="B48" s="1195"/>
      <c r="C48" s="1195"/>
      <c r="D48" s="1184"/>
      <c r="E48" s="1194"/>
      <c r="F48" s="114" t="s">
        <v>23</v>
      </c>
      <c r="G48" s="117">
        <f>G46+G47</f>
        <v>3000000</v>
      </c>
      <c r="H48" s="1193"/>
      <c r="I48" s="117">
        <f>I46+I47</f>
        <v>3000000</v>
      </c>
      <c r="J48" s="117">
        <f>J46+J47</f>
        <v>3000000</v>
      </c>
      <c r="K48" s="117">
        <f>K46+K47</f>
        <v>0</v>
      </c>
      <c r="L48" s="1184"/>
    </row>
    <row r="49" spans="1:12" s="87" customFormat="1" ht="13.15" customHeight="1">
      <c r="A49" s="1194">
        <v>5</v>
      </c>
      <c r="B49" s="1195"/>
      <c r="C49" s="1195" t="s">
        <v>65</v>
      </c>
      <c r="D49" s="1184" t="s">
        <v>252</v>
      </c>
      <c r="E49" s="1194">
        <v>2020</v>
      </c>
      <c r="F49" s="114" t="s">
        <v>21</v>
      </c>
      <c r="G49" s="117">
        <v>185000</v>
      </c>
      <c r="H49" s="1193" t="s">
        <v>239</v>
      </c>
      <c r="I49" s="117">
        <f>J49+K49</f>
        <v>185000</v>
      </c>
      <c r="J49" s="117">
        <v>185000</v>
      </c>
      <c r="K49" s="117">
        <v>0</v>
      </c>
      <c r="L49" s="1184" t="s">
        <v>245</v>
      </c>
    </row>
    <row r="50" spans="1:12" s="87" customFormat="1">
      <c r="A50" s="1194"/>
      <c r="B50" s="1195"/>
      <c r="C50" s="1195"/>
      <c r="D50" s="1184"/>
      <c r="E50" s="1194"/>
      <c r="F50" s="114" t="s">
        <v>22</v>
      </c>
      <c r="G50" s="117">
        <v>-64941</v>
      </c>
      <c r="H50" s="1193"/>
      <c r="I50" s="117">
        <f>J50+K50</f>
        <v>-64941</v>
      </c>
      <c r="J50" s="117">
        <v>-64941</v>
      </c>
      <c r="K50" s="117"/>
      <c r="L50" s="1184"/>
    </row>
    <row r="51" spans="1:12" s="87" customFormat="1">
      <c r="A51" s="1194"/>
      <c r="B51" s="1195"/>
      <c r="C51" s="1195"/>
      <c r="D51" s="1184"/>
      <c r="E51" s="1194"/>
      <c r="F51" s="114" t="s">
        <v>23</v>
      </c>
      <c r="G51" s="117">
        <f>G49+G50</f>
        <v>120059</v>
      </c>
      <c r="H51" s="1193"/>
      <c r="I51" s="117">
        <f>I49+I50</f>
        <v>120059</v>
      </c>
      <c r="J51" s="117">
        <f>J49+J50</f>
        <v>120059</v>
      </c>
      <c r="K51" s="117">
        <f>K49+K50</f>
        <v>0</v>
      </c>
      <c r="L51" s="1184"/>
    </row>
    <row r="52" spans="1:12" s="87" customFormat="1" ht="27" hidden="1" customHeight="1">
      <c r="A52" s="1194">
        <v>4</v>
      </c>
      <c r="B52" s="1195"/>
      <c r="C52" s="1195" t="s">
        <v>65</v>
      </c>
      <c r="D52" s="1184" t="s">
        <v>253</v>
      </c>
      <c r="E52" s="1194">
        <v>2020</v>
      </c>
      <c r="F52" s="114" t="s">
        <v>21</v>
      </c>
      <c r="G52" s="117">
        <v>76774</v>
      </c>
      <c r="H52" s="1193" t="s">
        <v>239</v>
      </c>
      <c r="I52" s="117">
        <f>J52+K52</f>
        <v>76774</v>
      </c>
      <c r="J52" s="117">
        <v>76774</v>
      </c>
      <c r="K52" s="117">
        <v>0</v>
      </c>
      <c r="L52" s="1184" t="s">
        <v>243</v>
      </c>
    </row>
    <row r="53" spans="1:12" s="87" customFormat="1" ht="27" hidden="1" customHeight="1">
      <c r="A53" s="1194"/>
      <c r="B53" s="1195"/>
      <c r="C53" s="1195"/>
      <c r="D53" s="1184"/>
      <c r="E53" s="1194"/>
      <c r="F53" s="114" t="s">
        <v>22</v>
      </c>
      <c r="G53" s="117"/>
      <c r="H53" s="1193"/>
      <c r="I53" s="117">
        <f>J53+K53</f>
        <v>0</v>
      </c>
      <c r="J53" s="117"/>
      <c r="K53" s="117"/>
      <c r="L53" s="1184"/>
    </row>
    <row r="54" spans="1:12" s="87" customFormat="1" ht="27" hidden="1" customHeight="1">
      <c r="A54" s="1194"/>
      <c r="B54" s="1195"/>
      <c r="C54" s="1195"/>
      <c r="D54" s="1184"/>
      <c r="E54" s="1194"/>
      <c r="F54" s="114" t="s">
        <v>23</v>
      </c>
      <c r="G54" s="117">
        <f>G52+G53</f>
        <v>76774</v>
      </c>
      <c r="H54" s="1193"/>
      <c r="I54" s="117">
        <f>I52+I53</f>
        <v>76774</v>
      </c>
      <c r="J54" s="117">
        <f>J52+J53</f>
        <v>76774</v>
      </c>
      <c r="K54" s="117">
        <f>K52+K53</f>
        <v>0</v>
      </c>
      <c r="L54" s="1184"/>
    </row>
    <row r="55" spans="1:12" s="87" customFormat="1" ht="15" customHeight="1">
      <c r="A55" s="1194">
        <v>6</v>
      </c>
      <c r="B55" s="1195"/>
      <c r="C55" s="1195" t="s">
        <v>65</v>
      </c>
      <c r="D55" s="1184" t="s">
        <v>254</v>
      </c>
      <c r="E55" s="1194">
        <v>2020</v>
      </c>
      <c r="F55" s="114" t="s">
        <v>21</v>
      </c>
      <c r="G55" s="117">
        <v>6626537</v>
      </c>
      <c r="H55" s="1193" t="s">
        <v>239</v>
      </c>
      <c r="I55" s="117">
        <f>J55+K55</f>
        <v>6626537</v>
      </c>
      <c r="J55" s="117">
        <v>6626537</v>
      </c>
      <c r="K55" s="117">
        <v>0</v>
      </c>
      <c r="L55" s="1184" t="s">
        <v>245</v>
      </c>
    </row>
    <row r="56" spans="1:12" s="87" customFormat="1">
      <c r="A56" s="1194"/>
      <c r="B56" s="1195"/>
      <c r="C56" s="1195"/>
      <c r="D56" s="1184"/>
      <c r="E56" s="1194"/>
      <c r="F56" s="114" t="s">
        <v>22</v>
      </c>
      <c r="G56" s="117">
        <v>-370791</v>
      </c>
      <c r="H56" s="1193"/>
      <c r="I56" s="117">
        <f>J56+K56</f>
        <v>-370791</v>
      </c>
      <c r="J56" s="117">
        <v>-370791</v>
      </c>
      <c r="K56" s="117"/>
      <c r="L56" s="1184"/>
    </row>
    <row r="57" spans="1:12" s="87" customFormat="1" ht="15" customHeight="1">
      <c r="A57" s="1194"/>
      <c r="B57" s="1195"/>
      <c r="C57" s="1195"/>
      <c r="D57" s="1184"/>
      <c r="E57" s="1194"/>
      <c r="F57" s="114" t="s">
        <v>23</v>
      </c>
      <c r="G57" s="117">
        <f>G55+G56</f>
        <v>6255746</v>
      </c>
      <c r="H57" s="1193"/>
      <c r="I57" s="117">
        <f>I55+I56</f>
        <v>6255746</v>
      </c>
      <c r="J57" s="117">
        <f>J55+J56</f>
        <v>6255746</v>
      </c>
      <c r="K57" s="117">
        <f>K55+K56</f>
        <v>0</v>
      </c>
      <c r="L57" s="1184"/>
    </row>
    <row r="58" spans="1:12" s="87" customFormat="1" ht="19.149999999999999" hidden="1" customHeight="1">
      <c r="A58" s="1194">
        <v>6</v>
      </c>
      <c r="B58" s="1195"/>
      <c r="C58" s="1195" t="s">
        <v>65</v>
      </c>
      <c r="D58" s="1184" t="s">
        <v>255</v>
      </c>
      <c r="E58" s="1194">
        <v>2020</v>
      </c>
      <c r="F58" s="114" t="s">
        <v>21</v>
      </c>
      <c r="G58" s="117">
        <v>191133</v>
      </c>
      <c r="H58" s="1193" t="s">
        <v>239</v>
      </c>
      <c r="I58" s="117">
        <f>J58+K58</f>
        <v>191133</v>
      </c>
      <c r="J58" s="117">
        <v>191133</v>
      </c>
      <c r="K58" s="117">
        <v>0</v>
      </c>
      <c r="L58" s="1184" t="s">
        <v>245</v>
      </c>
    </row>
    <row r="59" spans="1:12" s="87" customFormat="1" ht="19.149999999999999" hidden="1" customHeight="1">
      <c r="A59" s="1194"/>
      <c r="B59" s="1195"/>
      <c r="C59" s="1195"/>
      <c r="D59" s="1184"/>
      <c r="E59" s="1194"/>
      <c r="F59" s="114" t="s">
        <v>22</v>
      </c>
      <c r="G59" s="117"/>
      <c r="H59" s="1193"/>
      <c r="I59" s="117">
        <f>J59+K59</f>
        <v>0</v>
      </c>
      <c r="J59" s="117"/>
      <c r="K59" s="117"/>
      <c r="L59" s="1184"/>
    </row>
    <row r="60" spans="1:12" s="87" customFormat="1" ht="19.149999999999999" hidden="1" customHeight="1">
      <c r="A60" s="1194"/>
      <c r="B60" s="1195"/>
      <c r="C60" s="1195"/>
      <c r="D60" s="1184"/>
      <c r="E60" s="1194"/>
      <c r="F60" s="114" t="s">
        <v>23</v>
      </c>
      <c r="G60" s="117">
        <f>G58+G59</f>
        <v>191133</v>
      </c>
      <c r="H60" s="1193"/>
      <c r="I60" s="117">
        <f>I58+I59</f>
        <v>191133</v>
      </c>
      <c r="J60" s="117">
        <f>J58+J59</f>
        <v>191133</v>
      </c>
      <c r="K60" s="117">
        <f>K58+K59</f>
        <v>0</v>
      </c>
      <c r="L60" s="1184"/>
    </row>
    <row r="61" spans="1:12" s="113" customFormat="1" hidden="1">
      <c r="A61" s="1188"/>
      <c r="B61" s="1197" t="s">
        <v>82</v>
      </c>
      <c r="C61" s="1197"/>
      <c r="D61" s="1199" t="s">
        <v>83</v>
      </c>
      <c r="E61" s="1188" t="s">
        <v>239</v>
      </c>
      <c r="F61" s="111" t="s">
        <v>21</v>
      </c>
      <c r="G61" s="112">
        <f>G64</f>
        <v>18000</v>
      </c>
      <c r="H61" s="1185" t="s">
        <v>239</v>
      </c>
      <c r="I61" s="112">
        <f t="shared" ref="I61:K62" si="3">I64</f>
        <v>18000</v>
      </c>
      <c r="J61" s="112">
        <f t="shared" si="3"/>
        <v>18000</v>
      </c>
      <c r="K61" s="112">
        <f t="shared" si="3"/>
        <v>0</v>
      </c>
      <c r="L61" s="1188" t="s">
        <v>239</v>
      </c>
    </row>
    <row r="62" spans="1:12" s="113" customFormat="1" hidden="1">
      <c r="A62" s="1188"/>
      <c r="B62" s="1197"/>
      <c r="C62" s="1197"/>
      <c r="D62" s="1199"/>
      <c r="E62" s="1188"/>
      <c r="F62" s="111" t="s">
        <v>22</v>
      </c>
      <c r="G62" s="112">
        <f>G65</f>
        <v>0</v>
      </c>
      <c r="H62" s="1185"/>
      <c r="I62" s="112">
        <f t="shared" si="3"/>
        <v>0</v>
      </c>
      <c r="J62" s="112">
        <f t="shared" si="3"/>
        <v>0</v>
      </c>
      <c r="K62" s="112">
        <f t="shared" si="3"/>
        <v>0</v>
      </c>
      <c r="L62" s="1188"/>
    </row>
    <row r="63" spans="1:12" s="113" customFormat="1" hidden="1">
      <c r="A63" s="1188"/>
      <c r="B63" s="1197"/>
      <c r="C63" s="1197"/>
      <c r="D63" s="1199"/>
      <c r="E63" s="1188"/>
      <c r="F63" s="111" t="s">
        <v>23</v>
      </c>
      <c r="G63" s="112">
        <f>G61+G62</f>
        <v>18000</v>
      </c>
      <c r="H63" s="1185"/>
      <c r="I63" s="112">
        <f>I61+I62</f>
        <v>18000</v>
      </c>
      <c r="J63" s="112">
        <f>J61+J62</f>
        <v>18000</v>
      </c>
      <c r="K63" s="112">
        <f>K61+K62</f>
        <v>0</v>
      </c>
      <c r="L63" s="1188"/>
    </row>
    <row r="64" spans="1:12" s="87" customFormat="1" ht="13.15" hidden="1" customHeight="1">
      <c r="A64" s="1194">
        <v>8</v>
      </c>
      <c r="B64" s="1195"/>
      <c r="C64" s="1195" t="s">
        <v>90</v>
      </c>
      <c r="D64" s="1184" t="s">
        <v>256</v>
      </c>
      <c r="E64" s="1194">
        <v>2020</v>
      </c>
      <c r="F64" s="114" t="s">
        <v>21</v>
      </c>
      <c r="G64" s="117">
        <v>18000</v>
      </c>
      <c r="H64" s="1193" t="s">
        <v>239</v>
      </c>
      <c r="I64" s="117">
        <f>J64+K64</f>
        <v>18000</v>
      </c>
      <c r="J64" s="117">
        <v>18000</v>
      </c>
      <c r="K64" s="117">
        <v>0</v>
      </c>
      <c r="L64" s="1184" t="s">
        <v>243</v>
      </c>
    </row>
    <row r="65" spans="1:12" s="87" customFormat="1" hidden="1">
      <c r="A65" s="1194"/>
      <c r="B65" s="1195"/>
      <c r="C65" s="1195"/>
      <c r="D65" s="1184"/>
      <c r="E65" s="1194"/>
      <c r="F65" s="114" t="s">
        <v>22</v>
      </c>
      <c r="G65" s="117"/>
      <c r="H65" s="1193"/>
      <c r="I65" s="117">
        <f>J65+K65</f>
        <v>0</v>
      </c>
      <c r="J65" s="117"/>
      <c r="K65" s="117"/>
      <c r="L65" s="1184"/>
    </row>
    <row r="66" spans="1:12" s="87" customFormat="1" hidden="1">
      <c r="A66" s="1194"/>
      <c r="B66" s="1195"/>
      <c r="C66" s="1195"/>
      <c r="D66" s="1184"/>
      <c r="E66" s="1194"/>
      <c r="F66" s="114" t="s">
        <v>23</v>
      </c>
      <c r="G66" s="117">
        <f>G64+G65</f>
        <v>18000</v>
      </c>
      <c r="H66" s="1193"/>
      <c r="I66" s="117">
        <f>I64+I65</f>
        <v>18000</v>
      </c>
      <c r="J66" s="117">
        <f>J64+J65</f>
        <v>18000</v>
      </c>
      <c r="K66" s="117">
        <f>K64+K65</f>
        <v>0</v>
      </c>
      <c r="L66" s="1184"/>
    </row>
    <row r="67" spans="1:12" s="113" customFormat="1">
      <c r="A67" s="1188"/>
      <c r="B67" s="1197" t="s">
        <v>101</v>
      </c>
      <c r="C67" s="1197"/>
      <c r="D67" s="1199" t="s">
        <v>102</v>
      </c>
      <c r="E67" s="1188" t="s">
        <v>239</v>
      </c>
      <c r="F67" s="111" t="s">
        <v>21</v>
      </c>
      <c r="G67" s="112">
        <f>G70+G73</f>
        <v>586100</v>
      </c>
      <c r="H67" s="1185" t="str">
        <f>H70</f>
        <v>x</v>
      </c>
      <c r="I67" s="112">
        <f t="shared" ref="I67:K68" si="4">I70+I73</f>
        <v>586100</v>
      </c>
      <c r="J67" s="112">
        <f t="shared" si="4"/>
        <v>586100</v>
      </c>
      <c r="K67" s="112">
        <f t="shared" si="4"/>
        <v>0</v>
      </c>
      <c r="L67" s="1188" t="s">
        <v>239</v>
      </c>
    </row>
    <row r="68" spans="1:12" s="113" customFormat="1">
      <c r="A68" s="1188"/>
      <c r="B68" s="1197"/>
      <c r="C68" s="1197"/>
      <c r="D68" s="1199"/>
      <c r="E68" s="1188"/>
      <c r="F68" s="111" t="s">
        <v>22</v>
      </c>
      <c r="G68" s="112">
        <f>G71+G74</f>
        <v>-129800</v>
      </c>
      <c r="H68" s="1185"/>
      <c r="I68" s="112">
        <f t="shared" si="4"/>
        <v>-129800</v>
      </c>
      <c r="J68" s="112">
        <f t="shared" si="4"/>
        <v>-129800</v>
      </c>
      <c r="K68" s="112">
        <f t="shared" si="4"/>
        <v>0</v>
      </c>
      <c r="L68" s="1188"/>
    </row>
    <row r="69" spans="1:12" s="113" customFormat="1">
      <c r="A69" s="1188"/>
      <c r="B69" s="1197"/>
      <c r="C69" s="1197"/>
      <c r="D69" s="1199"/>
      <c r="E69" s="1188"/>
      <c r="F69" s="111" t="s">
        <v>23</v>
      </c>
      <c r="G69" s="112">
        <f>G67+G68</f>
        <v>456300</v>
      </c>
      <c r="H69" s="1185"/>
      <c r="I69" s="112">
        <f>I67+I68</f>
        <v>456300</v>
      </c>
      <c r="J69" s="112">
        <f>J67+J68</f>
        <v>456300</v>
      </c>
      <c r="K69" s="112">
        <f>K67+K68</f>
        <v>0</v>
      </c>
      <c r="L69" s="1188"/>
    </row>
    <row r="70" spans="1:12" s="87" customFormat="1" ht="13.15" customHeight="1">
      <c r="A70" s="1194">
        <v>7</v>
      </c>
      <c r="B70" s="1195"/>
      <c r="C70" s="1195" t="s">
        <v>105</v>
      </c>
      <c r="D70" s="1184" t="s">
        <v>251</v>
      </c>
      <c r="E70" s="1194">
        <v>2020</v>
      </c>
      <c r="F70" s="114" t="s">
        <v>21</v>
      </c>
      <c r="G70" s="117">
        <v>436100</v>
      </c>
      <c r="H70" s="1193" t="s">
        <v>239</v>
      </c>
      <c r="I70" s="117">
        <f>J70+K70</f>
        <v>436100</v>
      </c>
      <c r="J70" s="117">
        <v>436100</v>
      </c>
      <c r="K70" s="117">
        <v>0</v>
      </c>
      <c r="L70" s="1184" t="s">
        <v>243</v>
      </c>
    </row>
    <row r="71" spans="1:12" s="87" customFormat="1">
      <c r="A71" s="1194"/>
      <c r="B71" s="1195"/>
      <c r="C71" s="1195"/>
      <c r="D71" s="1184"/>
      <c r="E71" s="1194"/>
      <c r="F71" s="114" t="s">
        <v>22</v>
      </c>
      <c r="G71" s="117">
        <v>20200</v>
      </c>
      <c r="H71" s="1193"/>
      <c r="I71" s="117">
        <f>J71+K71</f>
        <v>20200</v>
      </c>
      <c r="J71" s="117">
        <v>20200</v>
      </c>
      <c r="K71" s="117"/>
      <c r="L71" s="1184"/>
    </row>
    <row r="72" spans="1:12" s="87" customFormat="1">
      <c r="A72" s="1194"/>
      <c r="B72" s="1195"/>
      <c r="C72" s="1195"/>
      <c r="D72" s="1184"/>
      <c r="E72" s="1194"/>
      <c r="F72" s="114" t="s">
        <v>23</v>
      </c>
      <c r="G72" s="117">
        <f>G70+G71</f>
        <v>456300</v>
      </c>
      <c r="H72" s="1193"/>
      <c r="I72" s="117">
        <f>I70+I71</f>
        <v>456300</v>
      </c>
      <c r="J72" s="117">
        <f>J70+J71</f>
        <v>456300</v>
      </c>
      <c r="K72" s="117">
        <f>K70+K71</f>
        <v>0</v>
      </c>
      <c r="L72" s="1184"/>
    </row>
    <row r="73" spans="1:12" s="87" customFormat="1" ht="13.15" customHeight="1">
      <c r="A73" s="1194">
        <v>8</v>
      </c>
      <c r="B73" s="1195"/>
      <c r="C73" s="1195" t="s">
        <v>105</v>
      </c>
      <c r="D73" s="1184" t="s">
        <v>257</v>
      </c>
      <c r="E73" s="1194">
        <v>2020</v>
      </c>
      <c r="F73" s="114" t="s">
        <v>21</v>
      </c>
      <c r="G73" s="117">
        <v>150000</v>
      </c>
      <c r="H73" s="1193" t="s">
        <v>239</v>
      </c>
      <c r="I73" s="117">
        <f>J73+K73</f>
        <v>150000</v>
      </c>
      <c r="J73" s="117">
        <v>150000</v>
      </c>
      <c r="K73" s="117">
        <v>0</v>
      </c>
      <c r="L73" s="1184" t="s">
        <v>243</v>
      </c>
    </row>
    <row r="74" spans="1:12" s="87" customFormat="1">
      <c r="A74" s="1194"/>
      <c r="B74" s="1195"/>
      <c r="C74" s="1195"/>
      <c r="D74" s="1184"/>
      <c r="E74" s="1194"/>
      <c r="F74" s="114" t="s">
        <v>22</v>
      </c>
      <c r="G74" s="117">
        <v>-150000</v>
      </c>
      <c r="H74" s="1193"/>
      <c r="I74" s="117">
        <f>J74+K74</f>
        <v>-150000</v>
      </c>
      <c r="J74" s="117">
        <v>-150000</v>
      </c>
      <c r="K74" s="117"/>
      <c r="L74" s="1184"/>
    </row>
    <row r="75" spans="1:12" s="87" customFormat="1">
      <c r="A75" s="1194"/>
      <c r="B75" s="1195"/>
      <c r="C75" s="1195"/>
      <c r="D75" s="1184"/>
      <c r="E75" s="1194"/>
      <c r="F75" s="114" t="s">
        <v>23</v>
      </c>
      <c r="G75" s="117">
        <f>G73+G74</f>
        <v>0</v>
      </c>
      <c r="H75" s="1193"/>
      <c r="I75" s="117">
        <f>I73+I74</f>
        <v>0</v>
      </c>
      <c r="J75" s="117">
        <f>J73+J74</f>
        <v>0</v>
      </c>
      <c r="K75" s="117">
        <f>K73+K74</f>
        <v>0</v>
      </c>
      <c r="L75" s="1184"/>
    </row>
    <row r="76" spans="1:12" s="113" customFormat="1" ht="13.15" hidden="1" customHeight="1">
      <c r="A76" s="1188"/>
      <c r="B76" s="1197" t="s">
        <v>118</v>
      </c>
      <c r="C76" s="1197"/>
      <c r="D76" s="1198" t="s">
        <v>119</v>
      </c>
      <c r="E76" s="1188" t="s">
        <v>239</v>
      </c>
      <c r="F76" s="111" t="s">
        <v>21</v>
      </c>
      <c r="G76" s="112">
        <f>G79</f>
        <v>1000000</v>
      </c>
      <c r="H76" s="1185" t="s">
        <v>239</v>
      </c>
      <c r="I76" s="112">
        <f t="shared" ref="I76:K77" si="5">I79</f>
        <v>1000000</v>
      </c>
      <c r="J76" s="112">
        <f t="shared" si="5"/>
        <v>1000000</v>
      </c>
      <c r="K76" s="112">
        <f t="shared" si="5"/>
        <v>0</v>
      </c>
      <c r="L76" s="1188" t="s">
        <v>239</v>
      </c>
    </row>
    <row r="77" spans="1:12" s="113" customFormat="1" hidden="1">
      <c r="A77" s="1188"/>
      <c r="B77" s="1197"/>
      <c r="C77" s="1197"/>
      <c r="D77" s="1198"/>
      <c r="E77" s="1188"/>
      <c r="F77" s="111" t="s">
        <v>22</v>
      </c>
      <c r="G77" s="112">
        <f>G80</f>
        <v>0</v>
      </c>
      <c r="H77" s="1185"/>
      <c r="I77" s="112">
        <f t="shared" si="5"/>
        <v>0</v>
      </c>
      <c r="J77" s="112">
        <f t="shared" si="5"/>
        <v>0</v>
      </c>
      <c r="K77" s="112">
        <f t="shared" si="5"/>
        <v>0</v>
      </c>
      <c r="L77" s="1188"/>
    </row>
    <row r="78" spans="1:12" s="113" customFormat="1" hidden="1">
      <c r="A78" s="1188"/>
      <c r="B78" s="1197"/>
      <c r="C78" s="1197"/>
      <c r="D78" s="1198"/>
      <c r="E78" s="1188"/>
      <c r="F78" s="111" t="s">
        <v>23</v>
      </c>
      <c r="G78" s="112">
        <f>G76+G77</f>
        <v>1000000</v>
      </c>
      <c r="H78" s="1185"/>
      <c r="I78" s="112">
        <f>I76+I77</f>
        <v>1000000</v>
      </c>
      <c r="J78" s="112">
        <f>J76+J77</f>
        <v>1000000</v>
      </c>
      <c r="K78" s="112">
        <f>K76+K77</f>
        <v>0</v>
      </c>
      <c r="L78" s="1188"/>
    </row>
    <row r="79" spans="1:12" s="87" customFormat="1" ht="13.15" hidden="1" customHeight="1">
      <c r="A79" s="1194">
        <v>11</v>
      </c>
      <c r="B79" s="1195"/>
      <c r="C79" s="1195" t="s">
        <v>120</v>
      </c>
      <c r="D79" s="1184" t="s">
        <v>258</v>
      </c>
      <c r="E79" s="1194">
        <v>2020</v>
      </c>
      <c r="F79" s="114" t="s">
        <v>21</v>
      </c>
      <c r="G79" s="117">
        <v>1000000</v>
      </c>
      <c r="H79" s="1193" t="s">
        <v>239</v>
      </c>
      <c r="I79" s="117">
        <f>J79+K79</f>
        <v>1000000</v>
      </c>
      <c r="J79" s="117">
        <v>1000000</v>
      </c>
      <c r="K79" s="117">
        <v>0</v>
      </c>
      <c r="L79" s="1184" t="s">
        <v>243</v>
      </c>
    </row>
    <row r="80" spans="1:12" s="87" customFormat="1" hidden="1">
      <c r="A80" s="1194"/>
      <c r="B80" s="1195"/>
      <c r="C80" s="1195"/>
      <c r="D80" s="1184"/>
      <c r="E80" s="1194"/>
      <c r="F80" s="114" t="s">
        <v>22</v>
      </c>
      <c r="G80" s="117"/>
      <c r="H80" s="1193"/>
      <c r="I80" s="117">
        <f>J80+K80</f>
        <v>0</v>
      </c>
      <c r="J80" s="117"/>
      <c r="K80" s="117"/>
      <c r="L80" s="1184"/>
    </row>
    <row r="81" spans="1:12" s="87" customFormat="1" hidden="1">
      <c r="A81" s="1194"/>
      <c r="B81" s="1195"/>
      <c r="C81" s="1195"/>
      <c r="D81" s="1184"/>
      <c r="E81" s="1194"/>
      <c r="F81" s="114" t="s">
        <v>23</v>
      </c>
      <c r="G81" s="117">
        <f>G79+G80</f>
        <v>1000000</v>
      </c>
      <c r="H81" s="1193"/>
      <c r="I81" s="117">
        <f>I79+I80</f>
        <v>1000000</v>
      </c>
      <c r="J81" s="117">
        <f>J79+J80</f>
        <v>1000000</v>
      </c>
      <c r="K81" s="117">
        <f>K79+K80</f>
        <v>0</v>
      </c>
      <c r="L81" s="1184"/>
    </row>
    <row r="82" spans="1:12" s="113" customFormat="1" hidden="1">
      <c r="A82" s="1188"/>
      <c r="B82" s="1197" t="s">
        <v>131</v>
      </c>
      <c r="C82" s="1197"/>
      <c r="D82" s="1199" t="s">
        <v>132</v>
      </c>
      <c r="E82" s="1188" t="s">
        <v>239</v>
      </c>
      <c r="F82" s="111" t="s">
        <v>21</v>
      </c>
      <c r="G82" s="112">
        <f>G85</f>
        <v>26000</v>
      </c>
      <c r="H82" s="1185" t="s">
        <v>239</v>
      </c>
      <c r="I82" s="112">
        <f t="shared" ref="I82:K83" si="6">I85</f>
        <v>26000</v>
      </c>
      <c r="J82" s="112">
        <f t="shared" si="6"/>
        <v>26000</v>
      </c>
      <c r="K82" s="112">
        <f t="shared" si="6"/>
        <v>0</v>
      </c>
      <c r="L82" s="1188" t="s">
        <v>239</v>
      </c>
    </row>
    <row r="83" spans="1:12" s="113" customFormat="1" hidden="1">
      <c r="A83" s="1188"/>
      <c r="B83" s="1197"/>
      <c r="C83" s="1197"/>
      <c r="D83" s="1199"/>
      <c r="E83" s="1188"/>
      <c r="F83" s="111" t="s">
        <v>22</v>
      </c>
      <c r="G83" s="112">
        <f>G86</f>
        <v>0</v>
      </c>
      <c r="H83" s="1185"/>
      <c r="I83" s="112">
        <f t="shared" si="6"/>
        <v>0</v>
      </c>
      <c r="J83" s="112">
        <f t="shared" si="6"/>
        <v>0</v>
      </c>
      <c r="K83" s="112">
        <f t="shared" si="6"/>
        <v>0</v>
      </c>
      <c r="L83" s="1188"/>
    </row>
    <row r="84" spans="1:12" s="113" customFormat="1" hidden="1">
      <c r="A84" s="1188"/>
      <c r="B84" s="1197"/>
      <c r="C84" s="1197"/>
      <c r="D84" s="1199"/>
      <c r="E84" s="1188"/>
      <c r="F84" s="111" t="s">
        <v>23</v>
      </c>
      <c r="G84" s="112">
        <f>G82+G83</f>
        <v>26000</v>
      </c>
      <c r="H84" s="1185"/>
      <c r="I84" s="112">
        <f>I82+I83</f>
        <v>26000</v>
      </c>
      <c r="J84" s="112">
        <f>J82+J83</f>
        <v>26000</v>
      </c>
      <c r="K84" s="112">
        <f>K82+K83</f>
        <v>0</v>
      </c>
      <c r="L84" s="1188"/>
    </row>
    <row r="85" spans="1:12" s="87" customFormat="1" ht="13.15" hidden="1" customHeight="1">
      <c r="A85" s="1194">
        <v>12</v>
      </c>
      <c r="B85" s="1195"/>
      <c r="C85" s="1195" t="s">
        <v>148</v>
      </c>
      <c r="D85" s="1203" t="s">
        <v>259</v>
      </c>
      <c r="E85" s="1194">
        <v>2020</v>
      </c>
      <c r="F85" s="114" t="s">
        <v>21</v>
      </c>
      <c r="G85" s="117">
        <v>26000</v>
      </c>
      <c r="H85" s="1193" t="s">
        <v>239</v>
      </c>
      <c r="I85" s="117">
        <f>J85+K85</f>
        <v>26000</v>
      </c>
      <c r="J85" s="117">
        <v>26000</v>
      </c>
      <c r="K85" s="117">
        <v>0</v>
      </c>
      <c r="L85" s="1184" t="s">
        <v>260</v>
      </c>
    </row>
    <row r="86" spans="1:12" s="87" customFormat="1" hidden="1">
      <c r="A86" s="1194"/>
      <c r="B86" s="1195"/>
      <c r="C86" s="1195"/>
      <c r="D86" s="1203"/>
      <c r="E86" s="1194"/>
      <c r="F86" s="114" t="s">
        <v>22</v>
      </c>
      <c r="G86" s="117"/>
      <c r="H86" s="1193"/>
      <c r="I86" s="117">
        <f>J86+K86</f>
        <v>0</v>
      </c>
      <c r="J86" s="117"/>
      <c r="K86" s="117"/>
      <c r="L86" s="1184"/>
    </row>
    <row r="87" spans="1:12" s="87" customFormat="1" hidden="1">
      <c r="A87" s="1194"/>
      <c r="B87" s="1195"/>
      <c r="C87" s="1195"/>
      <c r="D87" s="1203"/>
      <c r="E87" s="1194"/>
      <c r="F87" s="114" t="s">
        <v>23</v>
      </c>
      <c r="G87" s="117">
        <f>G85+G86</f>
        <v>26000</v>
      </c>
      <c r="H87" s="1193"/>
      <c r="I87" s="117">
        <f>I85+I86</f>
        <v>26000</v>
      </c>
      <c r="J87" s="117">
        <f>J85+J86</f>
        <v>26000</v>
      </c>
      <c r="K87" s="117">
        <f>K85+K86</f>
        <v>0</v>
      </c>
      <c r="L87" s="1184"/>
    </row>
    <row r="88" spans="1:12" s="113" customFormat="1">
      <c r="A88" s="1188"/>
      <c r="B88" s="1197" t="s">
        <v>158</v>
      </c>
      <c r="C88" s="1197"/>
      <c r="D88" s="1199" t="s">
        <v>159</v>
      </c>
      <c r="E88" s="1188" t="s">
        <v>239</v>
      </c>
      <c r="F88" s="111" t="s">
        <v>21</v>
      </c>
      <c r="G88" s="112">
        <f>G91+G94+G127+G100+G103+G106+G130+G109+G112+G115+G121+G133+G124+G97+G118</f>
        <v>10059926</v>
      </c>
      <c r="H88" s="1185" t="s">
        <v>239</v>
      </c>
      <c r="I88" s="112">
        <f t="shared" ref="I88:K89" si="7">I91+I94+I127+I100+I103+I106+I130+I109+I112+I115+I121+I133+I124+I97+I118</f>
        <v>10059926</v>
      </c>
      <c r="J88" s="112">
        <f t="shared" si="7"/>
        <v>3918572</v>
      </c>
      <c r="K88" s="112">
        <f t="shared" si="7"/>
        <v>6141354</v>
      </c>
      <c r="L88" s="1188" t="s">
        <v>239</v>
      </c>
    </row>
    <row r="89" spans="1:12" s="113" customFormat="1">
      <c r="A89" s="1188"/>
      <c r="B89" s="1197"/>
      <c r="C89" s="1197"/>
      <c r="D89" s="1199"/>
      <c r="E89" s="1188"/>
      <c r="F89" s="111" t="s">
        <v>22</v>
      </c>
      <c r="G89" s="112">
        <f>G92+G95+G128+G101+G104+G107+G131+G110+G113+G116+G122+G134+G125+G98+G119</f>
        <v>1482360</v>
      </c>
      <c r="H89" s="1185"/>
      <c r="I89" s="112">
        <f t="shared" si="7"/>
        <v>1482360</v>
      </c>
      <c r="J89" s="112">
        <f t="shared" si="7"/>
        <v>0</v>
      </c>
      <c r="K89" s="112">
        <f t="shared" si="7"/>
        <v>1482360</v>
      </c>
      <c r="L89" s="1188"/>
    </row>
    <row r="90" spans="1:12" s="113" customFormat="1">
      <c r="A90" s="1188"/>
      <c r="B90" s="1197"/>
      <c r="C90" s="1197"/>
      <c r="D90" s="1199"/>
      <c r="E90" s="1188"/>
      <c r="F90" s="111" t="s">
        <v>23</v>
      </c>
      <c r="G90" s="112">
        <f>G88+G89</f>
        <v>11542286</v>
      </c>
      <c r="H90" s="1185"/>
      <c r="I90" s="112">
        <f>I88+I89</f>
        <v>11542286</v>
      </c>
      <c r="J90" s="112">
        <f>J88+J89</f>
        <v>3918572</v>
      </c>
      <c r="K90" s="112">
        <f>K88+K89</f>
        <v>7623714</v>
      </c>
      <c r="L90" s="1188"/>
    </row>
    <row r="91" spans="1:12" s="87" customFormat="1" ht="19.899999999999999" customHeight="1">
      <c r="A91" s="1194">
        <v>9</v>
      </c>
      <c r="B91" s="1195"/>
      <c r="C91" s="1195" t="s">
        <v>261</v>
      </c>
      <c r="D91" s="1184" t="s">
        <v>262</v>
      </c>
      <c r="E91" s="1194">
        <v>2020</v>
      </c>
      <c r="F91" s="114" t="s">
        <v>21</v>
      </c>
      <c r="G91" s="117">
        <v>2000000</v>
      </c>
      <c r="H91" s="1193" t="s">
        <v>239</v>
      </c>
      <c r="I91" s="117">
        <f>J91+K91</f>
        <v>2000000</v>
      </c>
      <c r="J91" s="117">
        <v>2000000</v>
      </c>
      <c r="K91" s="117">
        <v>0</v>
      </c>
      <c r="L91" s="1184" t="s">
        <v>263</v>
      </c>
    </row>
    <row r="92" spans="1:12" s="87" customFormat="1" ht="19.899999999999999" customHeight="1">
      <c r="A92" s="1194"/>
      <c r="B92" s="1195"/>
      <c r="C92" s="1195"/>
      <c r="D92" s="1184"/>
      <c r="E92" s="1194"/>
      <c r="F92" s="114" t="s">
        <v>22</v>
      </c>
      <c r="G92" s="117">
        <v>500000</v>
      </c>
      <c r="H92" s="1193"/>
      <c r="I92" s="117">
        <f>J92+K92</f>
        <v>500000</v>
      </c>
      <c r="J92" s="117">
        <v>500000</v>
      </c>
      <c r="K92" s="117"/>
      <c r="L92" s="1184"/>
    </row>
    <row r="93" spans="1:12" s="87" customFormat="1" ht="19.899999999999999" customHeight="1">
      <c r="A93" s="1194"/>
      <c r="B93" s="1195"/>
      <c r="C93" s="1195"/>
      <c r="D93" s="1184"/>
      <c r="E93" s="1194"/>
      <c r="F93" s="114" t="s">
        <v>23</v>
      </c>
      <c r="G93" s="117">
        <f>G91+G92</f>
        <v>2500000</v>
      </c>
      <c r="H93" s="1193"/>
      <c r="I93" s="117">
        <f>I91+I92</f>
        <v>2500000</v>
      </c>
      <c r="J93" s="117">
        <f>J91+J92</f>
        <v>2500000</v>
      </c>
      <c r="K93" s="117">
        <f>K91+K92</f>
        <v>0</v>
      </c>
      <c r="L93" s="1184"/>
    </row>
    <row r="94" spans="1:12" s="87" customFormat="1" ht="15.75" customHeight="1">
      <c r="A94" s="1194">
        <v>10</v>
      </c>
      <c r="B94" s="1195"/>
      <c r="C94" s="1195" t="s">
        <v>261</v>
      </c>
      <c r="D94" s="1184" t="s">
        <v>264</v>
      </c>
      <c r="E94" s="1194">
        <v>2020</v>
      </c>
      <c r="F94" s="114" t="s">
        <v>21</v>
      </c>
      <c r="G94" s="117">
        <v>1000000</v>
      </c>
      <c r="H94" s="1193" t="s">
        <v>239</v>
      </c>
      <c r="I94" s="117">
        <f>J94+K94</f>
        <v>1000000</v>
      </c>
      <c r="J94" s="117">
        <v>1000000</v>
      </c>
      <c r="K94" s="117">
        <v>0</v>
      </c>
      <c r="L94" s="1184" t="s">
        <v>263</v>
      </c>
    </row>
    <row r="95" spans="1:12" s="87" customFormat="1" ht="15.75" customHeight="1">
      <c r="A95" s="1194"/>
      <c r="B95" s="1195"/>
      <c r="C95" s="1195"/>
      <c r="D95" s="1184"/>
      <c r="E95" s="1194"/>
      <c r="F95" s="114" t="s">
        <v>22</v>
      </c>
      <c r="G95" s="117">
        <v>-500000</v>
      </c>
      <c r="H95" s="1193"/>
      <c r="I95" s="117">
        <f>J95+K95</f>
        <v>-500000</v>
      </c>
      <c r="J95" s="117">
        <v>-500000</v>
      </c>
      <c r="K95" s="117"/>
      <c r="L95" s="1184"/>
    </row>
    <row r="96" spans="1:12" s="87" customFormat="1" ht="15.75" customHeight="1">
      <c r="A96" s="1194"/>
      <c r="B96" s="1195"/>
      <c r="C96" s="1195"/>
      <c r="D96" s="1184"/>
      <c r="E96" s="1194"/>
      <c r="F96" s="114" t="s">
        <v>23</v>
      </c>
      <c r="G96" s="117">
        <f>G94+G95</f>
        <v>500000</v>
      </c>
      <c r="H96" s="1193"/>
      <c r="I96" s="117">
        <f>I94+I95</f>
        <v>500000</v>
      </c>
      <c r="J96" s="117">
        <f>J94+J95</f>
        <v>500000</v>
      </c>
      <c r="K96" s="117">
        <f>K94+K95</f>
        <v>0</v>
      </c>
      <c r="L96" s="1184"/>
    </row>
    <row r="97" spans="1:12" s="87" customFormat="1" ht="24.6" hidden="1" customHeight="1">
      <c r="A97" s="1194">
        <v>2</v>
      </c>
      <c r="B97" s="1195"/>
      <c r="C97" s="1195" t="s">
        <v>261</v>
      </c>
      <c r="D97" s="1184" t="s">
        <v>265</v>
      </c>
      <c r="E97" s="1194">
        <v>2020</v>
      </c>
      <c r="F97" s="114" t="s">
        <v>21</v>
      </c>
      <c r="G97" s="117">
        <v>1500000</v>
      </c>
      <c r="H97" s="1193" t="s">
        <v>239</v>
      </c>
      <c r="I97" s="117">
        <f>J97+K97</f>
        <v>1500000</v>
      </c>
      <c r="J97" s="117">
        <v>0</v>
      </c>
      <c r="K97" s="117">
        <v>1500000</v>
      </c>
      <c r="L97" s="1184" t="s">
        <v>263</v>
      </c>
    </row>
    <row r="98" spans="1:12" s="87" customFormat="1" ht="24.6" hidden="1" customHeight="1">
      <c r="A98" s="1194"/>
      <c r="B98" s="1195"/>
      <c r="C98" s="1195"/>
      <c r="D98" s="1184"/>
      <c r="E98" s="1194"/>
      <c r="F98" s="114" t="s">
        <v>22</v>
      </c>
      <c r="G98" s="117"/>
      <c r="H98" s="1193"/>
      <c r="I98" s="117">
        <f>J98+K98</f>
        <v>0</v>
      </c>
      <c r="J98" s="117"/>
      <c r="K98" s="117"/>
      <c r="L98" s="1184"/>
    </row>
    <row r="99" spans="1:12" s="87" customFormat="1" ht="24.6" hidden="1" customHeight="1">
      <c r="A99" s="1194"/>
      <c r="B99" s="1195"/>
      <c r="C99" s="1195"/>
      <c r="D99" s="1184"/>
      <c r="E99" s="1194"/>
      <c r="F99" s="114"/>
      <c r="G99" s="117">
        <f>G97+G98</f>
        <v>1500000</v>
      </c>
      <c r="H99" s="1193"/>
      <c r="I99" s="117">
        <f>I97+I98</f>
        <v>1500000</v>
      </c>
      <c r="J99" s="117">
        <f>J97+J98</f>
        <v>0</v>
      </c>
      <c r="K99" s="117">
        <f>K97+K98</f>
        <v>1500000</v>
      </c>
      <c r="L99" s="1184"/>
    </row>
    <row r="100" spans="1:12" s="87" customFormat="1" ht="19.899999999999999" hidden="1" customHeight="1">
      <c r="A100" s="1194">
        <v>1</v>
      </c>
      <c r="B100" s="1195"/>
      <c r="C100" s="1204" t="s">
        <v>266</v>
      </c>
      <c r="D100" s="1184" t="s">
        <v>267</v>
      </c>
      <c r="E100" s="1194">
        <v>2020</v>
      </c>
      <c r="F100" s="114" t="s">
        <v>21</v>
      </c>
      <c r="G100" s="117">
        <v>1275000</v>
      </c>
      <c r="H100" s="1193" t="s">
        <v>239</v>
      </c>
      <c r="I100" s="117">
        <f>J100+K100</f>
        <v>1275000</v>
      </c>
      <c r="J100" s="117">
        <v>0</v>
      </c>
      <c r="K100" s="117">
        <v>1275000</v>
      </c>
      <c r="L100" s="1184" t="s">
        <v>268</v>
      </c>
    </row>
    <row r="101" spans="1:12" s="87" customFormat="1" ht="19.899999999999999" hidden="1" customHeight="1">
      <c r="A101" s="1194"/>
      <c r="B101" s="1195"/>
      <c r="C101" s="1195"/>
      <c r="D101" s="1184"/>
      <c r="E101" s="1194"/>
      <c r="F101" s="114" t="s">
        <v>22</v>
      </c>
      <c r="G101" s="117"/>
      <c r="H101" s="1193"/>
      <c r="I101" s="117">
        <f>J101+K101</f>
        <v>0</v>
      </c>
      <c r="J101" s="117"/>
      <c r="K101" s="117"/>
      <c r="L101" s="1184"/>
    </row>
    <row r="102" spans="1:12" s="87" customFormat="1" ht="19.899999999999999" hidden="1" customHeight="1">
      <c r="A102" s="1194"/>
      <c r="B102" s="1195"/>
      <c r="C102" s="1195"/>
      <c r="D102" s="1184"/>
      <c r="E102" s="1194"/>
      <c r="F102" s="114" t="s">
        <v>23</v>
      </c>
      <c r="G102" s="117">
        <f>G100+G101</f>
        <v>1275000</v>
      </c>
      <c r="H102" s="1193"/>
      <c r="I102" s="117">
        <f>I100+I101</f>
        <v>1275000</v>
      </c>
      <c r="J102" s="117">
        <f>J100+J101</f>
        <v>0</v>
      </c>
      <c r="K102" s="117">
        <f>K100+K101</f>
        <v>1275000</v>
      </c>
      <c r="L102" s="1184"/>
    </row>
    <row r="103" spans="1:12" s="87" customFormat="1" ht="18.600000000000001" hidden="1" customHeight="1">
      <c r="A103" s="1194">
        <v>2</v>
      </c>
      <c r="B103" s="1195"/>
      <c r="C103" s="1204" t="s">
        <v>266</v>
      </c>
      <c r="D103" s="1184" t="s">
        <v>267</v>
      </c>
      <c r="E103" s="1194">
        <v>2020</v>
      </c>
      <c r="F103" s="114" t="s">
        <v>21</v>
      </c>
      <c r="G103" s="117">
        <v>1798632</v>
      </c>
      <c r="H103" s="1193" t="s">
        <v>239</v>
      </c>
      <c r="I103" s="117">
        <f>J103+K103</f>
        <v>1798632</v>
      </c>
      <c r="J103" s="117">
        <v>0</v>
      </c>
      <c r="K103" s="117">
        <v>1798632</v>
      </c>
      <c r="L103" s="1184" t="s">
        <v>269</v>
      </c>
    </row>
    <row r="104" spans="1:12" s="87" customFormat="1" ht="18.600000000000001" hidden="1" customHeight="1">
      <c r="A104" s="1194"/>
      <c r="B104" s="1195"/>
      <c r="C104" s="1195"/>
      <c r="D104" s="1184"/>
      <c r="E104" s="1194"/>
      <c r="F104" s="114" t="s">
        <v>22</v>
      </c>
      <c r="G104" s="117"/>
      <c r="H104" s="1193"/>
      <c r="I104" s="117">
        <f>J104+K104</f>
        <v>0</v>
      </c>
      <c r="J104" s="117"/>
      <c r="K104" s="117"/>
      <c r="L104" s="1184"/>
    </row>
    <row r="105" spans="1:12" s="87" customFormat="1" ht="18.600000000000001" hidden="1" customHeight="1">
      <c r="A105" s="1194"/>
      <c r="B105" s="1195"/>
      <c r="C105" s="1195"/>
      <c r="D105" s="1184"/>
      <c r="E105" s="1194"/>
      <c r="F105" s="114" t="s">
        <v>23</v>
      </c>
      <c r="G105" s="117">
        <f>G103+G104</f>
        <v>1798632</v>
      </c>
      <c r="H105" s="1193"/>
      <c r="I105" s="117">
        <f>I103+I104</f>
        <v>1798632</v>
      </c>
      <c r="J105" s="117">
        <f>J103+J104</f>
        <v>0</v>
      </c>
      <c r="K105" s="117">
        <f>K103+K104</f>
        <v>1798632</v>
      </c>
      <c r="L105" s="1184"/>
    </row>
    <row r="106" spans="1:12" s="87" customFormat="1" ht="18.600000000000001" hidden="1" customHeight="1">
      <c r="A106" s="1194">
        <v>3</v>
      </c>
      <c r="B106" s="1195"/>
      <c r="C106" s="1204" t="s">
        <v>266</v>
      </c>
      <c r="D106" s="1184" t="s">
        <v>267</v>
      </c>
      <c r="E106" s="1194">
        <v>2020</v>
      </c>
      <c r="F106" s="114" t="s">
        <v>21</v>
      </c>
      <c r="G106" s="117">
        <v>994500</v>
      </c>
      <c r="H106" s="1193" t="s">
        <v>239</v>
      </c>
      <c r="I106" s="117">
        <f>J106+K106</f>
        <v>994500</v>
      </c>
      <c r="J106" s="117">
        <v>0</v>
      </c>
      <c r="K106" s="117">
        <v>994500</v>
      </c>
      <c r="L106" s="1184" t="s">
        <v>270</v>
      </c>
    </row>
    <row r="107" spans="1:12" s="87" customFormat="1" ht="18.600000000000001" hidden="1" customHeight="1">
      <c r="A107" s="1194"/>
      <c r="B107" s="1195"/>
      <c r="C107" s="1195"/>
      <c r="D107" s="1184"/>
      <c r="E107" s="1194"/>
      <c r="F107" s="114" t="s">
        <v>22</v>
      </c>
      <c r="G107" s="117"/>
      <c r="H107" s="1193"/>
      <c r="I107" s="117">
        <f>J107+K107</f>
        <v>0</v>
      </c>
      <c r="J107" s="117"/>
      <c r="K107" s="117"/>
      <c r="L107" s="1184"/>
    </row>
    <row r="108" spans="1:12" s="87" customFormat="1" ht="18.600000000000001" hidden="1" customHeight="1">
      <c r="A108" s="1194"/>
      <c r="B108" s="1195"/>
      <c r="C108" s="1195"/>
      <c r="D108" s="1184"/>
      <c r="E108" s="1194"/>
      <c r="F108" s="114" t="s">
        <v>23</v>
      </c>
      <c r="G108" s="117">
        <f>G106+G107</f>
        <v>994500</v>
      </c>
      <c r="H108" s="1193"/>
      <c r="I108" s="117">
        <f>I106+I107</f>
        <v>994500</v>
      </c>
      <c r="J108" s="117">
        <f>J106+J107</f>
        <v>0</v>
      </c>
      <c r="K108" s="117">
        <f>K106+K107</f>
        <v>994500</v>
      </c>
      <c r="L108" s="1184"/>
    </row>
    <row r="109" spans="1:12" s="87" customFormat="1" ht="24" hidden="1" customHeight="1">
      <c r="A109" s="1194">
        <v>1</v>
      </c>
      <c r="B109" s="1195"/>
      <c r="C109" s="1204" t="s">
        <v>266</v>
      </c>
      <c r="D109" s="1184" t="s">
        <v>271</v>
      </c>
      <c r="E109" s="1194">
        <v>2020</v>
      </c>
      <c r="F109" s="114" t="s">
        <v>21</v>
      </c>
      <c r="G109" s="117">
        <v>62500</v>
      </c>
      <c r="H109" s="1193" t="s">
        <v>239</v>
      </c>
      <c r="I109" s="117">
        <f>J109+K109</f>
        <v>62500</v>
      </c>
      <c r="J109" s="117">
        <v>0</v>
      </c>
      <c r="K109" s="117">
        <v>62500</v>
      </c>
      <c r="L109" s="1184" t="s">
        <v>268</v>
      </c>
    </row>
    <row r="110" spans="1:12" s="87" customFormat="1" ht="24" hidden="1" customHeight="1">
      <c r="A110" s="1194"/>
      <c r="B110" s="1195"/>
      <c r="C110" s="1195"/>
      <c r="D110" s="1184"/>
      <c r="E110" s="1194"/>
      <c r="F110" s="114" t="s">
        <v>22</v>
      </c>
      <c r="G110" s="117"/>
      <c r="H110" s="1193"/>
      <c r="I110" s="117">
        <f>J110+K110</f>
        <v>0</v>
      </c>
      <c r="J110" s="117"/>
      <c r="K110" s="117"/>
      <c r="L110" s="1184"/>
    </row>
    <row r="111" spans="1:12" s="87" customFormat="1" ht="24" hidden="1" customHeight="1">
      <c r="A111" s="1194"/>
      <c r="B111" s="1195"/>
      <c r="C111" s="1195"/>
      <c r="D111" s="1184"/>
      <c r="E111" s="1194"/>
      <c r="F111" s="114" t="s">
        <v>23</v>
      </c>
      <c r="G111" s="117">
        <f>G109+G110</f>
        <v>62500</v>
      </c>
      <c r="H111" s="1193"/>
      <c r="I111" s="117">
        <f>I109+I110</f>
        <v>62500</v>
      </c>
      <c r="J111" s="117">
        <f>J109+J110</f>
        <v>0</v>
      </c>
      <c r="K111" s="117">
        <f>K109+K110</f>
        <v>62500</v>
      </c>
      <c r="L111" s="1184"/>
    </row>
    <row r="112" spans="1:12" s="87" customFormat="1" ht="24" hidden="1" customHeight="1">
      <c r="A112" s="1194">
        <v>2</v>
      </c>
      <c r="B112" s="1195"/>
      <c r="C112" s="1204" t="s">
        <v>266</v>
      </c>
      <c r="D112" s="1184" t="s">
        <v>271</v>
      </c>
      <c r="E112" s="1194">
        <v>2020</v>
      </c>
      <c r="F112" s="114" t="s">
        <v>21</v>
      </c>
      <c r="G112" s="117">
        <v>62500</v>
      </c>
      <c r="H112" s="1193" t="s">
        <v>239</v>
      </c>
      <c r="I112" s="117">
        <f>J112+K112</f>
        <v>62500</v>
      </c>
      <c r="J112" s="117">
        <v>0</v>
      </c>
      <c r="K112" s="117">
        <v>62500</v>
      </c>
      <c r="L112" s="1184" t="s">
        <v>269</v>
      </c>
    </row>
    <row r="113" spans="1:12" s="87" customFormat="1" ht="24" hidden="1" customHeight="1">
      <c r="A113" s="1194"/>
      <c r="B113" s="1195"/>
      <c r="C113" s="1195"/>
      <c r="D113" s="1184"/>
      <c r="E113" s="1194"/>
      <c r="F113" s="114" t="s">
        <v>22</v>
      </c>
      <c r="G113" s="117"/>
      <c r="H113" s="1193"/>
      <c r="I113" s="117">
        <f>J113+K113</f>
        <v>0</v>
      </c>
      <c r="J113" s="117"/>
      <c r="K113" s="117"/>
      <c r="L113" s="1184"/>
    </row>
    <row r="114" spans="1:12" s="87" customFormat="1" ht="24" hidden="1" customHeight="1">
      <c r="A114" s="1194"/>
      <c r="B114" s="1195"/>
      <c r="C114" s="1195"/>
      <c r="D114" s="1184"/>
      <c r="E114" s="1194"/>
      <c r="F114" s="114" t="s">
        <v>23</v>
      </c>
      <c r="G114" s="117">
        <f>G112+G113</f>
        <v>62500</v>
      </c>
      <c r="H114" s="1193"/>
      <c r="I114" s="117">
        <f>I112+I113</f>
        <v>62500</v>
      </c>
      <c r="J114" s="117">
        <f>J112+J113</f>
        <v>0</v>
      </c>
      <c r="K114" s="117">
        <f>K112+K113</f>
        <v>62500</v>
      </c>
      <c r="L114" s="1184"/>
    </row>
    <row r="115" spans="1:12" s="87" customFormat="1" ht="24" hidden="1" customHeight="1">
      <c r="A115" s="1194">
        <v>3</v>
      </c>
      <c r="B115" s="1195"/>
      <c r="C115" s="1204" t="s">
        <v>266</v>
      </c>
      <c r="D115" s="1184" t="s">
        <v>271</v>
      </c>
      <c r="E115" s="1194">
        <v>2020</v>
      </c>
      <c r="F115" s="114" t="s">
        <v>21</v>
      </c>
      <c r="G115" s="117">
        <v>81000</v>
      </c>
      <c r="H115" s="1193" t="s">
        <v>239</v>
      </c>
      <c r="I115" s="117">
        <f>J115+K115</f>
        <v>81000</v>
      </c>
      <c r="J115" s="117">
        <v>0</v>
      </c>
      <c r="K115" s="117">
        <v>81000</v>
      </c>
      <c r="L115" s="1184" t="s">
        <v>270</v>
      </c>
    </row>
    <row r="116" spans="1:12" s="87" customFormat="1" ht="24" hidden="1" customHeight="1">
      <c r="A116" s="1194"/>
      <c r="B116" s="1195"/>
      <c r="C116" s="1195"/>
      <c r="D116" s="1184"/>
      <c r="E116" s="1194"/>
      <c r="F116" s="114" t="s">
        <v>22</v>
      </c>
      <c r="G116" s="117"/>
      <c r="H116" s="1193"/>
      <c r="I116" s="117">
        <f>J116+K116</f>
        <v>0</v>
      </c>
      <c r="J116" s="117"/>
      <c r="K116" s="117"/>
      <c r="L116" s="1184"/>
    </row>
    <row r="117" spans="1:12" s="87" customFormat="1" ht="24" hidden="1" customHeight="1">
      <c r="A117" s="1194"/>
      <c r="B117" s="1195"/>
      <c r="C117" s="1195"/>
      <c r="D117" s="1184"/>
      <c r="E117" s="1194"/>
      <c r="F117" s="114" t="s">
        <v>23</v>
      </c>
      <c r="G117" s="117">
        <f>G115+G116</f>
        <v>81000</v>
      </c>
      <c r="H117" s="1193"/>
      <c r="I117" s="117">
        <f>I115+I116</f>
        <v>81000</v>
      </c>
      <c r="J117" s="117">
        <f>J115+J116</f>
        <v>0</v>
      </c>
      <c r="K117" s="117">
        <f>K115+K116</f>
        <v>81000</v>
      </c>
      <c r="L117" s="1184"/>
    </row>
    <row r="118" spans="1:12" s="87" customFormat="1" ht="15.75" customHeight="1">
      <c r="A118" s="1194">
        <v>11</v>
      </c>
      <c r="B118" s="1195"/>
      <c r="C118" s="1204" t="s">
        <v>266</v>
      </c>
      <c r="D118" s="1184" t="s">
        <v>272</v>
      </c>
      <c r="E118" s="1194">
        <v>2020</v>
      </c>
      <c r="F118" s="114" t="s">
        <v>21</v>
      </c>
      <c r="G118" s="117">
        <v>0</v>
      </c>
      <c r="H118" s="1193" t="s">
        <v>239</v>
      </c>
      <c r="I118" s="117">
        <f>J118+K118</f>
        <v>0</v>
      </c>
      <c r="J118" s="117">
        <v>0</v>
      </c>
      <c r="K118" s="117">
        <v>0</v>
      </c>
      <c r="L118" s="1184" t="s">
        <v>270</v>
      </c>
    </row>
    <row r="119" spans="1:12" s="87" customFormat="1" ht="15.75" customHeight="1">
      <c r="A119" s="1194"/>
      <c r="B119" s="1195"/>
      <c r="C119" s="1195"/>
      <c r="D119" s="1184"/>
      <c r="E119" s="1194"/>
      <c r="F119" s="114" t="s">
        <v>22</v>
      </c>
      <c r="G119" s="117">
        <v>1482360</v>
      </c>
      <c r="H119" s="1193"/>
      <c r="I119" s="117">
        <f>J119+K119</f>
        <v>1482360</v>
      </c>
      <c r="J119" s="117"/>
      <c r="K119" s="117">
        <v>1482360</v>
      </c>
      <c r="L119" s="1184"/>
    </row>
    <row r="120" spans="1:12" s="87" customFormat="1" ht="15.75" customHeight="1">
      <c r="A120" s="1194"/>
      <c r="B120" s="1195"/>
      <c r="C120" s="1195"/>
      <c r="D120" s="1184"/>
      <c r="E120" s="1194"/>
      <c r="F120" s="114" t="s">
        <v>23</v>
      </c>
      <c r="G120" s="117">
        <f>G118+G119</f>
        <v>1482360</v>
      </c>
      <c r="H120" s="1193"/>
      <c r="I120" s="117">
        <f>I118+I119</f>
        <v>1482360</v>
      </c>
      <c r="J120" s="117">
        <f>J118+J119</f>
        <v>0</v>
      </c>
      <c r="K120" s="117">
        <f>K118+K119</f>
        <v>1482360</v>
      </c>
      <c r="L120" s="1184"/>
    </row>
    <row r="121" spans="1:12" s="87" customFormat="1" ht="15.6" hidden="1" customHeight="1">
      <c r="A121" s="1194">
        <v>2</v>
      </c>
      <c r="B121" s="1195"/>
      <c r="C121" s="1204" t="s">
        <v>266</v>
      </c>
      <c r="D121" s="1184" t="s">
        <v>273</v>
      </c>
      <c r="E121" s="1194">
        <v>2020</v>
      </c>
      <c r="F121" s="114" t="s">
        <v>21</v>
      </c>
      <c r="G121" s="117">
        <v>135000</v>
      </c>
      <c r="H121" s="1193" t="s">
        <v>239</v>
      </c>
      <c r="I121" s="117">
        <f>J121+K121</f>
        <v>135000</v>
      </c>
      <c r="J121" s="117">
        <v>0</v>
      </c>
      <c r="K121" s="117">
        <v>135000</v>
      </c>
      <c r="L121" s="1184" t="s">
        <v>269</v>
      </c>
    </row>
    <row r="122" spans="1:12" s="87" customFormat="1" ht="15.6" hidden="1" customHeight="1">
      <c r="A122" s="1194"/>
      <c r="B122" s="1195"/>
      <c r="C122" s="1195"/>
      <c r="D122" s="1184"/>
      <c r="E122" s="1194"/>
      <c r="F122" s="114" t="s">
        <v>22</v>
      </c>
      <c r="G122" s="117"/>
      <c r="H122" s="1193"/>
      <c r="I122" s="117">
        <f>J122+K122</f>
        <v>0</v>
      </c>
      <c r="J122" s="117"/>
      <c r="K122" s="117"/>
      <c r="L122" s="1184"/>
    </row>
    <row r="123" spans="1:12" s="87" customFormat="1" ht="15.6" hidden="1" customHeight="1">
      <c r="A123" s="1194"/>
      <c r="B123" s="1195"/>
      <c r="C123" s="1195"/>
      <c r="D123" s="1184"/>
      <c r="E123" s="1194"/>
      <c r="F123" s="114" t="s">
        <v>23</v>
      </c>
      <c r="G123" s="117">
        <f>G121+G122</f>
        <v>135000</v>
      </c>
      <c r="H123" s="1193"/>
      <c r="I123" s="117">
        <f>I121+I122</f>
        <v>135000</v>
      </c>
      <c r="J123" s="117">
        <f>J121+J122</f>
        <v>0</v>
      </c>
      <c r="K123" s="117">
        <f>K121+K122</f>
        <v>135000</v>
      </c>
      <c r="L123" s="1184"/>
    </row>
    <row r="124" spans="1:12" s="87" customFormat="1" ht="24" hidden="1" customHeight="1">
      <c r="A124" s="1194">
        <v>3</v>
      </c>
      <c r="B124" s="1195"/>
      <c r="C124" s="1204" t="s">
        <v>266</v>
      </c>
      <c r="D124" s="1184" t="s">
        <v>274</v>
      </c>
      <c r="E124" s="1194">
        <v>2020</v>
      </c>
      <c r="F124" s="114" t="s">
        <v>21</v>
      </c>
      <c r="G124" s="117">
        <v>216000</v>
      </c>
      <c r="H124" s="1193" t="s">
        <v>239</v>
      </c>
      <c r="I124" s="117">
        <f>J124+K124</f>
        <v>216000</v>
      </c>
      <c r="J124" s="117">
        <v>0</v>
      </c>
      <c r="K124" s="117">
        <v>216000</v>
      </c>
      <c r="L124" s="1184" t="s">
        <v>269</v>
      </c>
    </row>
    <row r="125" spans="1:12" s="87" customFormat="1" ht="24" hidden="1" customHeight="1">
      <c r="A125" s="1194"/>
      <c r="B125" s="1195"/>
      <c r="C125" s="1195"/>
      <c r="D125" s="1184"/>
      <c r="E125" s="1194"/>
      <c r="F125" s="114" t="s">
        <v>22</v>
      </c>
      <c r="G125" s="117"/>
      <c r="H125" s="1193"/>
      <c r="I125" s="117">
        <f>J125+K125</f>
        <v>0</v>
      </c>
      <c r="J125" s="117"/>
      <c r="K125" s="117"/>
      <c r="L125" s="1184"/>
    </row>
    <row r="126" spans="1:12" s="87" customFormat="1" ht="24" hidden="1" customHeight="1">
      <c r="A126" s="1194"/>
      <c r="B126" s="1195"/>
      <c r="C126" s="1195"/>
      <c r="D126" s="1184"/>
      <c r="E126" s="1194"/>
      <c r="F126" s="114" t="s">
        <v>23</v>
      </c>
      <c r="G126" s="117">
        <f>G124+G125</f>
        <v>216000</v>
      </c>
      <c r="H126" s="1193"/>
      <c r="I126" s="117">
        <f>I124+I125</f>
        <v>216000</v>
      </c>
      <c r="J126" s="117">
        <f>J124+J125</f>
        <v>0</v>
      </c>
      <c r="K126" s="117">
        <f>K124+K125</f>
        <v>216000</v>
      </c>
      <c r="L126" s="1184"/>
    </row>
    <row r="127" spans="1:12" s="87" customFormat="1" ht="13.15" hidden="1" customHeight="1">
      <c r="A127" s="1194">
        <v>15</v>
      </c>
      <c r="B127" s="1195"/>
      <c r="C127" s="1195" t="s">
        <v>275</v>
      </c>
      <c r="D127" s="1184" t="s">
        <v>276</v>
      </c>
      <c r="E127" s="1194">
        <v>2020</v>
      </c>
      <c r="F127" s="114" t="s">
        <v>21</v>
      </c>
      <c r="G127" s="117">
        <v>720000</v>
      </c>
      <c r="H127" s="1193" t="s">
        <v>239</v>
      </c>
      <c r="I127" s="117">
        <f>J127+K127</f>
        <v>720000</v>
      </c>
      <c r="J127" s="117">
        <v>720000</v>
      </c>
      <c r="K127" s="117">
        <v>0</v>
      </c>
      <c r="L127" s="1184" t="s">
        <v>277</v>
      </c>
    </row>
    <row r="128" spans="1:12" s="87" customFormat="1" hidden="1">
      <c r="A128" s="1194"/>
      <c r="B128" s="1195"/>
      <c r="C128" s="1195"/>
      <c r="D128" s="1184"/>
      <c r="E128" s="1194"/>
      <c r="F128" s="114" t="s">
        <v>22</v>
      </c>
      <c r="G128" s="117"/>
      <c r="H128" s="1193"/>
      <c r="I128" s="117">
        <f>J128+K128</f>
        <v>0</v>
      </c>
      <c r="J128" s="117"/>
      <c r="K128" s="117"/>
      <c r="L128" s="1184"/>
    </row>
    <row r="129" spans="1:12" s="87" customFormat="1" hidden="1">
      <c r="A129" s="1194"/>
      <c r="B129" s="1195"/>
      <c r="C129" s="1195"/>
      <c r="D129" s="1184"/>
      <c r="E129" s="1194"/>
      <c r="F129" s="114" t="s">
        <v>23</v>
      </c>
      <c r="G129" s="117">
        <f>G127+G128</f>
        <v>720000</v>
      </c>
      <c r="H129" s="1193"/>
      <c r="I129" s="117">
        <f>I127+I128</f>
        <v>720000</v>
      </c>
      <c r="J129" s="117">
        <f>J127+J128</f>
        <v>720000</v>
      </c>
      <c r="K129" s="117">
        <f>K127+K128</f>
        <v>0</v>
      </c>
      <c r="L129" s="1184"/>
    </row>
    <row r="130" spans="1:12" s="87" customFormat="1" ht="17.45" hidden="1" customHeight="1">
      <c r="A130" s="1194">
        <v>4</v>
      </c>
      <c r="B130" s="1195"/>
      <c r="C130" s="1204" t="s">
        <v>278</v>
      </c>
      <c r="D130" s="1184" t="s">
        <v>267</v>
      </c>
      <c r="E130" s="1194">
        <v>2020</v>
      </c>
      <c r="F130" s="114" t="s">
        <v>21</v>
      </c>
      <c r="G130" s="117">
        <v>16222</v>
      </c>
      <c r="H130" s="1193" t="s">
        <v>239</v>
      </c>
      <c r="I130" s="117">
        <f>J130+K130</f>
        <v>16222</v>
      </c>
      <c r="J130" s="117">
        <v>0</v>
      </c>
      <c r="K130" s="117">
        <v>16222</v>
      </c>
      <c r="L130" s="1184" t="s">
        <v>263</v>
      </c>
    </row>
    <row r="131" spans="1:12" s="87" customFormat="1" ht="17.45" hidden="1" customHeight="1">
      <c r="A131" s="1194"/>
      <c r="B131" s="1195"/>
      <c r="C131" s="1195"/>
      <c r="D131" s="1184"/>
      <c r="E131" s="1194"/>
      <c r="F131" s="114" t="s">
        <v>22</v>
      </c>
      <c r="G131" s="117"/>
      <c r="H131" s="1193"/>
      <c r="I131" s="117">
        <f>J131+K131</f>
        <v>0</v>
      </c>
      <c r="J131" s="117"/>
      <c r="K131" s="117"/>
      <c r="L131" s="1184"/>
    </row>
    <row r="132" spans="1:12" s="87" customFormat="1" ht="17.45" hidden="1" customHeight="1">
      <c r="A132" s="1194"/>
      <c r="B132" s="1195"/>
      <c r="C132" s="1195"/>
      <c r="D132" s="1184"/>
      <c r="E132" s="1194"/>
      <c r="F132" s="114" t="s">
        <v>23</v>
      </c>
      <c r="G132" s="117">
        <f>G130+G131</f>
        <v>16222</v>
      </c>
      <c r="H132" s="1193"/>
      <c r="I132" s="117">
        <f>I130+I131</f>
        <v>16222</v>
      </c>
      <c r="J132" s="117">
        <f>J130+J131</f>
        <v>0</v>
      </c>
      <c r="K132" s="117">
        <f>K130+K131</f>
        <v>16222</v>
      </c>
      <c r="L132" s="1184"/>
    </row>
    <row r="133" spans="1:12" s="87" customFormat="1" ht="13.15" hidden="1" customHeight="1">
      <c r="A133" s="1194">
        <v>5</v>
      </c>
      <c r="B133" s="1195"/>
      <c r="C133" s="1204" t="s">
        <v>279</v>
      </c>
      <c r="D133" s="1184" t="s">
        <v>280</v>
      </c>
      <c r="E133" s="1194">
        <v>2020</v>
      </c>
      <c r="F133" s="114" t="s">
        <v>21</v>
      </c>
      <c r="G133" s="117">
        <v>198572</v>
      </c>
      <c r="H133" s="1193" t="s">
        <v>239</v>
      </c>
      <c r="I133" s="117">
        <f>J133+K133</f>
        <v>198572</v>
      </c>
      <c r="J133" s="117">
        <v>198572</v>
      </c>
      <c r="K133" s="117">
        <v>0</v>
      </c>
      <c r="L133" s="1184" t="s">
        <v>281</v>
      </c>
    </row>
    <row r="134" spans="1:12" s="87" customFormat="1" hidden="1">
      <c r="A134" s="1194"/>
      <c r="B134" s="1195"/>
      <c r="C134" s="1195"/>
      <c r="D134" s="1184"/>
      <c r="E134" s="1194"/>
      <c r="F134" s="114" t="s">
        <v>22</v>
      </c>
      <c r="G134" s="117"/>
      <c r="H134" s="1193"/>
      <c r="I134" s="117">
        <f>J134+K134</f>
        <v>0</v>
      </c>
      <c r="J134" s="117"/>
      <c r="K134" s="117"/>
      <c r="L134" s="1184"/>
    </row>
    <row r="135" spans="1:12" s="87" customFormat="1" hidden="1">
      <c r="A135" s="1194"/>
      <c r="B135" s="1195"/>
      <c r="C135" s="1195"/>
      <c r="D135" s="1184"/>
      <c r="E135" s="1194"/>
      <c r="F135" s="114" t="s">
        <v>23</v>
      </c>
      <c r="G135" s="117">
        <f>G133+G134</f>
        <v>198572</v>
      </c>
      <c r="H135" s="1193"/>
      <c r="I135" s="117">
        <f>I133+I134</f>
        <v>198572</v>
      </c>
      <c r="J135" s="117">
        <f>J133+J134</f>
        <v>198572</v>
      </c>
      <c r="K135" s="117">
        <f>K133+K134</f>
        <v>0</v>
      </c>
      <c r="L135" s="1184"/>
    </row>
    <row r="136" spans="1:12" s="113" customFormat="1" hidden="1">
      <c r="A136" s="1188"/>
      <c r="B136" s="1197" t="s">
        <v>282</v>
      </c>
      <c r="C136" s="1197"/>
      <c r="D136" s="1199" t="s">
        <v>169</v>
      </c>
      <c r="E136" s="1188" t="s">
        <v>239</v>
      </c>
      <c r="F136" s="111" t="s">
        <v>21</v>
      </c>
      <c r="G136" s="112">
        <f>G139</f>
        <v>12500</v>
      </c>
      <c r="H136" s="1185" t="str">
        <f>H139</f>
        <v>x</v>
      </c>
      <c r="I136" s="112">
        <f>I139</f>
        <v>12500</v>
      </c>
      <c r="J136" s="112">
        <f>J139</f>
        <v>12500</v>
      </c>
      <c r="K136" s="112">
        <f>K139</f>
        <v>0</v>
      </c>
      <c r="L136" s="1188" t="s">
        <v>239</v>
      </c>
    </row>
    <row r="137" spans="1:12" s="113" customFormat="1" hidden="1">
      <c r="A137" s="1188"/>
      <c r="B137" s="1197"/>
      <c r="C137" s="1197"/>
      <c r="D137" s="1199"/>
      <c r="E137" s="1188"/>
      <c r="F137" s="111" t="s">
        <v>22</v>
      </c>
      <c r="G137" s="112">
        <f>G140</f>
        <v>0</v>
      </c>
      <c r="H137" s="1185"/>
      <c r="I137" s="112">
        <f>I140</f>
        <v>0</v>
      </c>
      <c r="J137" s="112">
        <f>J140</f>
        <v>0</v>
      </c>
      <c r="K137" s="112">
        <f>K140</f>
        <v>0</v>
      </c>
      <c r="L137" s="1188"/>
    </row>
    <row r="138" spans="1:12" s="113" customFormat="1" hidden="1">
      <c r="A138" s="1188"/>
      <c r="B138" s="1197"/>
      <c r="C138" s="1197"/>
      <c r="D138" s="1199"/>
      <c r="E138" s="1188"/>
      <c r="F138" s="111" t="s">
        <v>23</v>
      </c>
      <c r="G138" s="112">
        <f>G136+G137</f>
        <v>12500</v>
      </c>
      <c r="H138" s="1185"/>
      <c r="I138" s="112">
        <f>I136+I137</f>
        <v>12500</v>
      </c>
      <c r="J138" s="112">
        <f>J136+J137</f>
        <v>12500</v>
      </c>
      <c r="K138" s="112">
        <f>K136+K137</f>
        <v>0</v>
      </c>
      <c r="L138" s="1188"/>
    </row>
    <row r="139" spans="1:12" s="87" customFormat="1" ht="13.15" hidden="1" customHeight="1">
      <c r="A139" s="1194">
        <v>16</v>
      </c>
      <c r="B139" s="1195"/>
      <c r="C139" s="1195" t="s">
        <v>283</v>
      </c>
      <c r="D139" s="1203" t="s">
        <v>284</v>
      </c>
      <c r="E139" s="1194">
        <v>2020</v>
      </c>
      <c r="F139" s="114" t="s">
        <v>21</v>
      </c>
      <c r="G139" s="117">
        <v>12500</v>
      </c>
      <c r="H139" s="1193" t="s">
        <v>239</v>
      </c>
      <c r="I139" s="117">
        <f>J139+K139</f>
        <v>12500</v>
      </c>
      <c r="J139" s="117">
        <v>12500</v>
      </c>
      <c r="K139" s="117">
        <v>0</v>
      </c>
      <c r="L139" s="1184" t="s">
        <v>285</v>
      </c>
    </row>
    <row r="140" spans="1:12" s="87" customFormat="1" hidden="1">
      <c r="A140" s="1194"/>
      <c r="B140" s="1195"/>
      <c r="C140" s="1195"/>
      <c r="D140" s="1203"/>
      <c r="E140" s="1194"/>
      <c r="F140" s="114" t="s">
        <v>22</v>
      </c>
      <c r="G140" s="117"/>
      <c r="H140" s="1193"/>
      <c r="I140" s="117">
        <f>J140+K140</f>
        <v>0</v>
      </c>
      <c r="J140" s="117"/>
      <c r="K140" s="117"/>
      <c r="L140" s="1184"/>
    </row>
    <row r="141" spans="1:12" s="87" customFormat="1" hidden="1">
      <c r="A141" s="1194"/>
      <c r="B141" s="1195"/>
      <c r="C141" s="1195"/>
      <c r="D141" s="1203"/>
      <c r="E141" s="1194"/>
      <c r="F141" s="114" t="s">
        <v>23</v>
      </c>
      <c r="G141" s="117">
        <f>G139+G140</f>
        <v>12500</v>
      </c>
      <c r="H141" s="1193"/>
      <c r="I141" s="117">
        <f>I139+I140</f>
        <v>12500</v>
      </c>
      <c r="J141" s="117">
        <f>J139+J140</f>
        <v>12500</v>
      </c>
      <c r="K141" s="117">
        <f>K139+K140</f>
        <v>0</v>
      </c>
      <c r="L141" s="1184"/>
    </row>
    <row r="142" spans="1:12" s="113" customFormat="1" ht="13.15" hidden="1" customHeight="1">
      <c r="A142" s="1188"/>
      <c r="B142" s="1197" t="s">
        <v>286</v>
      </c>
      <c r="C142" s="1197"/>
      <c r="D142" s="1198" t="s">
        <v>174</v>
      </c>
      <c r="E142" s="1188" t="s">
        <v>239</v>
      </c>
      <c r="F142" s="111" t="s">
        <v>21</v>
      </c>
      <c r="G142" s="112">
        <f>G145</f>
        <v>60000</v>
      </c>
      <c r="H142" s="1185" t="s">
        <v>239</v>
      </c>
      <c r="I142" s="112">
        <f t="shared" ref="I142:K143" si="8">I145</f>
        <v>60000</v>
      </c>
      <c r="J142" s="112">
        <f t="shared" si="8"/>
        <v>60000</v>
      </c>
      <c r="K142" s="112">
        <f t="shared" si="8"/>
        <v>0</v>
      </c>
      <c r="L142" s="1188" t="s">
        <v>239</v>
      </c>
    </row>
    <row r="143" spans="1:12" s="113" customFormat="1" hidden="1">
      <c r="A143" s="1188"/>
      <c r="B143" s="1197"/>
      <c r="C143" s="1197"/>
      <c r="D143" s="1198"/>
      <c r="E143" s="1188"/>
      <c r="F143" s="111" t="s">
        <v>22</v>
      </c>
      <c r="G143" s="112">
        <f>G146</f>
        <v>0</v>
      </c>
      <c r="H143" s="1185"/>
      <c r="I143" s="112">
        <f t="shared" si="8"/>
        <v>0</v>
      </c>
      <c r="J143" s="112">
        <f t="shared" si="8"/>
        <v>0</v>
      </c>
      <c r="K143" s="112">
        <f t="shared" si="8"/>
        <v>0</v>
      </c>
      <c r="L143" s="1188"/>
    </row>
    <row r="144" spans="1:12" s="113" customFormat="1" hidden="1">
      <c r="A144" s="1188"/>
      <c r="B144" s="1197"/>
      <c r="C144" s="1197"/>
      <c r="D144" s="1198"/>
      <c r="E144" s="1188"/>
      <c r="F144" s="111" t="s">
        <v>23</v>
      </c>
      <c r="G144" s="112">
        <f>G142+G143</f>
        <v>60000</v>
      </c>
      <c r="H144" s="1185"/>
      <c r="I144" s="112">
        <f>I142+I143</f>
        <v>60000</v>
      </c>
      <c r="J144" s="112">
        <f>J142+J143</f>
        <v>60000</v>
      </c>
      <c r="K144" s="112">
        <f>K142+K143</f>
        <v>0</v>
      </c>
      <c r="L144" s="1188"/>
    </row>
    <row r="145" spans="1:12" s="87" customFormat="1" ht="13.15" hidden="1" customHeight="1">
      <c r="A145" s="1194">
        <v>17</v>
      </c>
      <c r="B145" s="1195"/>
      <c r="C145" s="1195" t="s">
        <v>287</v>
      </c>
      <c r="D145" s="1203" t="s">
        <v>288</v>
      </c>
      <c r="E145" s="1194">
        <v>2020</v>
      </c>
      <c r="F145" s="114" t="s">
        <v>21</v>
      </c>
      <c r="G145" s="117">
        <v>60000</v>
      </c>
      <c r="H145" s="1193" t="s">
        <v>239</v>
      </c>
      <c r="I145" s="117">
        <f>J145+K145</f>
        <v>60000</v>
      </c>
      <c r="J145" s="117">
        <v>60000</v>
      </c>
      <c r="K145" s="117">
        <v>0</v>
      </c>
      <c r="L145" s="1184" t="s">
        <v>289</v>
      </c>
    </row>
    <row r="146" spans="1:12" s="87" customFormat="1" hidden="1">
      <c r="A146" s="1194"/>
      <c r="B146" s="1195"/>
      <c r="C146" s="1195"/>
      <c r="D146" s="1203"/>
      <c r="E146" s="1194"/>
      <c r="F146" s="114" t="s">
        <v>22</v>
      </c>
      <c r="G146" s="117"/>
      <c r="H146" s="1193"/>
      <c r="I146" s="117">
        <f>J146+K146</f>
        <v>0</v>
      </c>
      <c r="J146" s="117"/>
      <c r="K146" s="117"/>
      <c r="L146" s="1184"/>
    </row>
    <row r="147" spans="1:12" s="87" customFormat="1" hidden="1">
      <c r="A147" s="1194"/>
      <c r="B147" s="1195"/>
      <c r="C147" s="1195"/>
      <c r="D147" s="1203"/>
      <c r="E147" s="1194"/>
      <c r="F147" s="114" t="s">
        <v>23</v>
      </c>
      <c r="G147" s="117">
        <f>G145+G146</f>
        <v>60000</v>
      </c>
      <c r="H147" s="1193"/>
      <c r="I147" s="117">
        <f>I145+I146</f>
        <v>60000</v>
      </c>
      <c r="J147" s="117">
        <f>J145+J146</f>
        <v>60000</v>
      </c>
      <c r="K147" s="117">
        <f>K145+K146</f>
        <v>0</v>
      </c>
      <c r="L147" s="1184"/>
    </row>
    <row r="148" spans="1:12" s="113" customFormat="1">
      <c r="A148" s="1188"/>
      <c r="B148" s="1197" t="s">
        <v>290</v>
      </c>
      <c r="C148" s="1197"/>
      <c r="D148" s="1199" t="s">
        <v>291</v>
      </c>
      <c r="E148" s="1188" t="s">
        <v>239</v>
      </c>
      <c r="F148" s="111" t="s">
        <v>21</v>
      </c>
      <c r="G148" s="112">
        <f>G151+G154+G157+G160</f>
        <v>233906</v>
      </c>
      <c r="H148" s="1185" t="s">
        <v>239</v>
      </c>
      <c r="I148" s="112">
        <f t="shared" ref="I148:K149" si="9">I151+I154+I157+I160</f>
        <v>233906</v>
      </c>
      <c r="J148" s="112">
        <f t="shared" si="9"/>
        <v>233906</v>
      </c>
      <c r="K148" s="112">
        <f t="shared" si="9"/>
        <v>0</v>
      </c>
      <c r="L148" s="1188" t="s">
        <v>239</v>
      </c>
    </row>
    <row r="149" spans="1:12" s="113" customFormat="1">
      <c r="A149" s="1188"/>
      <c r="B149" s="1197"/>
      <c r="C149" s="1197"/>
      <c r="D149" s="1199"/>
      <c r="E149" s="1188"/>
      <c r="F149" s="111" t="s">
        <v>22</v>
      </c>
      <c r="G149" s="112">
        <f>G152+G155+G158+G161</f>
        <v>-85000</v>
      </c>
      <c r="H149" s="1185"/>
      <c r="I149" s="112">
        <f t="shared" si="9"/>
        <v>-85000</v>
      </c>
      <c r="J149" s="112">
        <f t="shared" si="9"/>
        <v>-85000</v>
      </c>
      <c r="K149" s="112">
        <f t="shared" si="9"/>
        <v>0</v>
      </c>
      <c r="L149" s="1188"/>
    </row>
    <row r="150" spans="1:12" s="113" customFormat="1">
      <c r="A150" s="1188"/>
      <c r="B150" s="1197"/>
      <c r="C150" s="1197"/>
      <c r="D150" s="1199"/>
      <c r="E150" s="1188"/>
      <c r="F150" s="111" t="s">
        <v>23</v>
      </c>
      <c r="G150" s="112">
        <f>G148+G149</f>
        <v>148906</v>
      </c>
      <c r="H150" s="1185"/>
      <c r="I150" s="112">
        <f>I148+I149</f>
        <v>148906</v>
      </c>
      <c r="J150" s="112">
        <f>J148+J149</f>
        <v>148906</v>
      </c>
      <c r="K150" s="112">
        <f>K148+K149</f>
        <v>0</v>
      </c>
      <c r="L150" s="1188"/>
    </row>
    <row r="151" spans="1:12" s="87" customFormat="1" ht="20.45" hidden="1" customHeight="1">
      <c r="A151" s="1194">
        <v>18</v>
      </c>
      <c r="B151" s="1195"/>
      <c r="C151" s="1195" t="s">
        <v>292</v>
      </c>
      <c r="D151" s="1184" t="s">
        <v>251</v>
      </c>
      <c r="E151" s="1194">
        <v>2020</v>
      </c>
      <c r="F151" s="114" t="s">
        <v>21</v>
      </c>
      <c r="G151" s="117">
        <v>47017</v>
      </c>
      <c r="H151" s="1193" t="s">
        <v>239</v>
      </c>
      <c r="I151" s="117">
        <f>J151+K151</f>
        <v>47017</v>
      </c>
      <c r="J151" s="117">
        <v>47017</v>
      </c>
      <c r="K151" s="117">
        <v>0</v>
      </c>
      <c r="L151" s="1184" t="s">
        <v>293</v>
      </c>
    </row>
    <row r="152" spans="1:12" s="87" customFormat="1" ht="20.45" hidden="1" customHeight="1">
      <c r="A152" s="1194"/>
      <c r="B152" s="1195"/>
      <c r="C152" s="1195"/>
      <c r="D152" s="1184"/>
      <c r="E152" s="1194"/>
      <c r="F152" s="114" t="s">
        <v>22</v>
      </c>
      <c r="G152" s="117"/>
      <c r="H152" s="1193"/>
      <c r="I152" s="117">
        <f>J152+K152</f>
        <v>0</v>
      </c>
      <c r="J152" s="117"/>
      <c r="K152" s="117"/>
      <c r="L152" s="1184"/>
    </row>
    <row r="153" spans="1:12" s="87" customFormat="1" ht="20.45" hidden="1" customHeight="1">
      <c r="A153" s="1194"/>
      <c r="B153" s="1195"/>
      <c r="C153" s="1195"/>
      <c r="D153" s="1184"/>
      <c r="E153" s="1194"/>
      <c r="F153" s="114" t="s">
        <v>23</v>
      </c>
      <c r="G153" s="117">
        <f>G151+G152</f>
        <v>47017</v>
      </c>
      <c r="H153" s="1193"/>
      <c r="I153" s="117">
        <f>I151+I152</f>
        <v>47017</v>
      </c>
      <c r="J153" s="117">
        <f>J151+J152</f>
        <v>47017</v>
      </c>
      <c r="K153" s="117">
        <f>K151+K152</f>
        <v>0</v>
      </c>
      <c r="L153" s="1184"/>
    </row>
    <row r="154" spans="1:12" s="87" customFormat="1" ht="20.45" customHeight="1">
      <c r="A154" s="1194">
        <v>12</v>
      </c>
      <c r="B154" s="1195"/>
      <c r="C154" s="1195" t="s">
        <v>292</v>
      </c>
      <c r="D154" s="1184" t="s">
        <v>294</v>
      </c>
      <c r="E154" s="1194">
        <v>2020</v>
      </c>
      <c r="F154" s="114" t="s">
        <v>21</v>
      </c>
      <c r="G154" s="117">
        <v>85000</v>
      </c>
      <c r="H154" s="1193" t="s">
        <v>239</v>
      </c>
      <c r="I154" s="117">
        <f>J154+K154</f>
        <v>85000</v>
      </c>
      <c r="J154" s="117">
        <v>85000</v>
      </c>
      <c r="K154" s="117">
        <v>0</v>
      </c>
      <c r="L154" s="1184" t="s">
        <v>295</v>
      </c>
    </row>
    <row r="155" spans="1:12" s="87" customFormat="1" ht="20.45" customHeight="1">
      <c r="A155" s="1194"/>
      <c r="B155" s="1195"/>
      <c r="C155" s="1195"/>
      <c r="D155" s="1184"/>
      <c r="E155" s="1194"/>
      <c r="F155" s="114" t="s">
        <v>22</v>
      </c>
      <c r="G155" s="117">
        <v>-85000</v>
      </c>
      <c r="H155" s="1193"/>
      <c r="I155" s="117">
        <f>J155+K155</f>
        <v>-85000</v>
      </c>
      <c r="J155" s="117">
        <v>-85000</v>
      </c>
      <c r="K155" s="117"/>
      <c r="L155" s="1184"/>
    </row>
    <row r="156" spans="1:12" s="87" customFormat="1" ht="20.45" customHeight="1">
      <c r="A156" s="1194"/>
      <c r="B156" s="1195"/>
      <c r="C156" s="1195"/>
      <c r="D156" s="1184"/>
      <c r="E156" s="1194"/>
      <c r="F156" s="114" t="s">
        <v>23</v>
      </c>
      <c r="G156" s="117">
        <f>G154+G155</f>
        <v>0</v>
      </c>
      <c r="H156" s="1193"/>
      <c r="I156" s="117">
        <f>I154+I155</f>
        <v>0</v>
      </c>
      <c r="J156" s="117">
        <f>J154+J155</f>
        <v>0</v>
      </c>
      <c r="K156" s="117">
        <f>K154+K155</f>
        <v>0</v>
      </c>
      <c r="L156" s="1184"/>
    </row>
    <row r="157" spans="1:12" s="87" customFormat="1" ht="13.15" hidden="1" customHeight="1">
      <c r="A157" s="1194">
        <v>1</v>
      </c>
      <c r="B157" s="1195"/>
      <c r="C157" s="1195" t="s">
        <v>292</v>
      </c>
      <c r="D157" s="1184" t="s">
        <v>251</v>
      </c>
      <c r="E157" s="1194">
        <v>2020</v>
      </c>
      <c r="F157" s="114" t="s">
        <v>21</v>
      </c>
      <c r="G157" s="117">
        <v>24600</v>
      </c>
      <c r="H157" s="1193" t="s">
        <v>239</v>
      </c>
      <c r="I157" s="117">
        <f>J157+K157</f>
        <v>24600</v>
      </c>
      <c r="J157" s="117">
        <v>24600</v>
      </c>
      <c r="K157" s="117">
        <v>0</v>
      </c>
      <c r="L157" s="1184" t="s">
        <v>296</v>
      </c>
    </row>
    <row r="158" spans="1:12" s="87" customFormat="1" hidden="1">
      <c r="A158" s="1194"/>
      <c r="B158" s="1195"/>
      <c r="C158" s="1195"/>
      <c r="D158" s="1184"/>
      <c r="E158" s="1194"/>
      <c r="F158" s="114" t="s">
        <v>22</v>
      </c>
      <c r="G158" s="117"/>
      <c r="H158" s="1193"/>
      <c r="I158" s="117">
        <f>J158+K158</f>
        <v>0</v>
      </c>
      <c r="J158" s="117"/>
      <c r="K158" s="117"/>
      <c r="L158" s="1184"/>
    </row>
    <row r="159" spans="1:12" s="87" customFormat="1" hidden="1">
      <c r="A159" s="1194"/>
      <c r="B159" s="1195"/>
      <c r="C159" s="1195"/>
      <c r="D159" s="1184"/>
      <c r="E159" s="1194"/>
      <c r="F159" s="114" t="s">
        <v>23</v>
      </c>
      <c r="G159" s="117">
        <f>G157+G158</f>
        <v>24600</v>
      </c>
      <c r="H159" s="1193"/>
      <c r="I159" s="117">
        <f>I157+I158</f>
        <v>24600</v>
      </c>
      <c r="J159" s="117">
        <f>J157+J158</f>
        <v>24600</v>
      </c>
      <c r="K159" s="117">
        <f>K157+K158</f>
        <v>0</v>
      </c>
      <c r="L159" s="1184"/>
    </row>
    <row r="160" spans="1:12" s="87" customFormat="1" ht="13.15" hidden="1" customHeight="1">
      <c r="A160" s="1194">
        <v>7</v>
      </c>
      <c r="B160" s="1195"/>
      <c r="C160" s="1195" t="s">
        <v>297</v>
      </c>
      <c r="D160" s="1184" t="s">
        <v>298</v>
      </c>
      <c r="E160" s="1194">
        <v>2020</v>
      </c>
      <c r="F160" s="114" t="s">
        <v>21</v>
      </c>
      <c r="G160" s="117">
        <v>77289</v>
      </c>
      <c r="H160" s="1193" t="s">
        <v>239</v>
      </c>
      <c r="I160" s="117">
        <f>J160+K160</f>
        <v>77289</v>
      </c>
      <c r="J160" s="117">
        <v>77289</v>
      </c>
      <c r="K160" s="117">
        <v>0</v>
      </c>
      <c r="L160" s="1184" t="s">
        <v>299</v>
      </c>
    </row>
    <row r="161" spans="1:12" s="87" customFormat="1" hidden="1">
      <c r="A161" s="1194"/>
      <c r="B161" s="1195"/>
      <c r="C161" s="1195"/>
      <c r="D161" s="1184"/>
      <c r="E161" s="1194"/>
      <c r="F161" s="114" t="s">
        <v>22</v>
      </c>
      <c r="G161" s="117"/>
      <c r="H161" s="1193"/>
      <c r="I161" s="117">
        <f>J161+K161</f>
        <v>0</v>
      </c>
      <c r="J161" s="117"/>
      <c r="K161" s="117"/>
      <c r="L161" s="1184"/>
    </row>
    <row r="162" spans="1:12" s="87" customFormat="1" hidden="1">
      <c r="A162" s="1194"/>
      <c r="B162" s="1195"/>
      <c r="C162" s="1195"/>
      <c r="D162" s="1184"/>
      <c r="E162" s="1194"/>
      <c r="F162" s="114" t="s">
        <v>23</v>
      </c>
      <c r="G162" s="117">
        <f>G160+G161</f>
        <v>77289</v>
      </c>
      <c r="H162" s="1193"/>
      <c r="I162" s="117">
        <f>I160+I161</f>
        <v>77289</v>
      </c>
      <c r="J162" s="117">
        <f>J160+J161</f>
        <v>77289</v>
      </c>
      <c r="K162" s="117">
        <f>K160+K161</f>
        <v>0</v>
      </c>
      <c r="L162" s="1184"/>
    </row>
    <row r="163" spans="1:12" s="113" customFormat="1" ht="13.15" customHeight="1">
      <c r="A163" s="1188"/>
      <c r="B163" s="1197" t="s">
        <v>300</v>
      </c>
      <c r="C163" s="1197"/>
      <c r="D163" s="1198" t="s">
        <v>197</v>
      </c>
      <c r="E163" s="1188" t="s">
        <v>239</v>
      </c>
      <c r="F163" s="111" t="s">
        <v>21</v>
      </c>
      <c r="G163" s="112">
        <f>G166+G169+G172+G184+G193+G196+G199+G205+G211+G214+G178+G223+G226+G202+G181+G229+G232+G208+G187+G217+G220+G190+G175</f>
        <v>3656140</v>
      </c>
      <c r="H163" s="1185" t="s">
        <v>239</v>
      </c>
      <c r="I163" s="112">
        <f t="shared" ref="I163:K164" si="10">I166+I169+I172+I184+I193+I196+I199+I205+I211+I214+I178+I223+I226+I202+I181+I229+I232+I208+I187+I217+I220+I190+I175</f>
        <v>3656140</v>
      </c>
      <c r="J163" s="112">
        <f t="shared" si="10"/>
        <v>3616140</v>
      </c>
      <c r="K163" s="112">
        <f t="shared" si="10"/>
        <v>40000</v>
      </c>
      <c r="L163" s="1188" t="s">
        <v>239</v>
      </c>
    </row>
    <row r="164" spans="1:12" s="113" customFormat="1">
      <c r="A164" s="1188"/>
      <c r="B164" s="1197"/>
      <c r="C164" s="1197"/>
      <c r="D164" s="1198"/>
      <c r="E164" s="1188"/>
      <c r="F164" s="111" t="s">
        <v>22</v>
      </c>
      <c r="G164" s="112">
        <f>G167+G170+G173+G185+G194+G197+G200+G206+G212+G215+G179+G224+G227+G203+G182+G230+G233+G209+G188+G218+G221+G191+G176</f>
        <v>1101654</v>
      </c>
      <c r="H164" s="1185"/>
      <c r="I164" s="112">
        <f t="shared" si="10"/>
        <v>1101654</v>
      </c>
      <c r="J164" s="112">
        <f t="shared" si="10"/>
        <v>1101654</v>
      </c>
      <c r="K164" s="112">
        <f t="shared" si="10"/>
        <v>0</v>
      </c>
      <c r="L164" s="1188"/>
    </row>
    <row r="165" spans="1:12" s="113" customFormat="1">
      <c r="A165" s="1188"/>
      <c r="B165" s="1197"/>
      <c r="C165" s="1197"/>
      <c r="D165" s="1198"/>
      <c r="E165" s="1188"/>
      <c r="F165" s="111" t="s">
        <v>23</v>
      </c>
      <c r="G165" s="112">
        <f>G163+G164</f>
        <v>4757794</v>
      </c>
      <c r="H165" s="1185"/>
      <c r="I165" s="112">
        <f>I163+I164</f>
        <v>4757794</v>
      </c>
      <c r="J165" s="112">
        <f>J163+J164</f>
        <v>4717794</v>
      </c>
      <c r="K165" s="112">
        <f>K163+K164</f>
        <v>40000</v>
      </c>
      <c r="L165" s="1188"/>
    </row>
    <row r="166" spans="1:12" s="87" customFormat="1" ht="13.15" hidden="1" customHeight="1">
      <c r="A166" s="1194">
        <v>20</v>
      </c>
      <c r="B166" s="1195"/>
      <c r="C166" s="1195" t="s">
        <v>301</v>
      </c>
      <c r="D166" s="1184" t="s">
        <v>302</v>
      </c>
      <c r="E166" s="1194">
        <v>2020</v>
      </c>
      <c r="F166" s="114" t="s">
        <v>21</v>
      </c>
      <c r="G166" s="117">
        <v>600000</v>
      </c>
      <c r="H166" s="1193" t="s">
        <v>239</v>
      </c>
      <c r="I166" s="117">
        <f>J166+K166</f>
        <v>600000</v>
      </c>
      <c r="J166" s="117">
        <v>600000</v>
      </c>
      <c r="K166" s="117">
        <v>0</v>
      </c>
      <c r="L166" s="1184" t="s">
        <v>303</v>
      </c>
    </row>
    <row r="167" spans="1:12" s="87" customFormat="1" hidden="1">
      <c r="A167" s="1194"/>
      <c r="B167" s="1195"/>
      <c r="C167" s="1195"/>
      <c r="D167" s="1184"/>
      <c r="E167" s="1194"/>
      <c r="F167" s="114" t="s">
        <v>22</v>
      </c>
      <c r="G167" s="117"/>
      <c r="H167" s="1193"/>
      <c r="I167" s="117">
        <f>J167+K167</f>
        <v>0</v>
      </c>
      <c r="J167" s="117"/>
      <c r="K167" s="117"/>
      <c r="L167" s="1184"/>
    </row>
    <row r="168" spans="1:12" s="87" customFormat="1" hidden="1">
      <c r="A168" s="1194"/>
      <c r="B168" s="1195"/>
      <c r="C168" s="1195"/>
      <c r="D168" s="1184"/>
      <c r="E168" s="1194"/>
      <c r="F168" s="114" t="s">
        <v>23</v>
      </c>
      <c r="G168" s="117">
        <f>G166+G167</f>
        <v>600000</v>
      </c>
      <c r="H168" s="1193"/>
      <c r="I168" s="117">
        <f>I166+I167</f>
        <v>600000</v>
      </c>
      <c r="J168" s="117">
        <f>J166+J167</f>
        <v>600000</v>
      </c>
      <c r="K168" s="117">
        <f>K166+K167</f>
        <v>0</v>
      </c>
      <c r="L168" s="1184"/>
    </row>
    <row r="169" spans="1:12" s="87" customFormat="1" ht="21.6" hidden="1" customHeight="1">
      <c r="A169" s="1194">
        <v>1</v>
      </c>
      <c r="B169" s="1195"/>
      <c r="C169" s="1195" t="s">
        <v>301</v>
      </c>
      <c r="D169" s="1184" t="s">
        <v>304</v>
      </c>
      <c r="E169" s="1194">
        <v>2020</v>
      </c>
      <c r="F169" s="114" t="s">
        <v>21</v>
      </c>
      <c r="G169" s="117">
        <v>890516</v>
      </c>
      <c r="H169" s="1193" t="s">
        <v>239</v>
      </c>
      <c r="I169" s="117">
        <f>J169+K169</f>
        <v>890516</v>
      </c>
      <c r="J169" s="117">
        <v>890516</v>
      </c>
      <c r="K169" s="117">
        <v>0</v>
      </c>
      <c r="L169" s="1184" t="s">
        <v>303</v>
      </c>
    </row>
    <row r="170" spans="1:12" s="87" customFormat="1" ht="21.6" hidden="1" customHeight="1">
      <c r="A170" s="1194"/>
      <c r="B170" s="1195"/>
      <c r="C170" s="1195"/>
      <c r="D170" s="1184"/>
      <c r="E170" s="1194"/>
      <c r="F170" s="114" t="s">
        <v>22</v>
      </c>
      <c r="G170" s="117"/>
      <c r="H170" s="1193"/>
      <c r="I170" s="117">
        <f>J170+K170</f>
        <v>0</v>
      </c>
      <c r="J170" s="117"/>
      <c r="K170" s="117"/>
      <c r="L170" s="1184"/>
    </row>
    <row r="171" spans="1:12" s="87" customFormat="1" ht="21.6" hidden="1" customHeight="1">
      <c r="A171" s="1194"/>
      <c r="B171" s="1195"/>
      <c r="C171" s="1195"/>
      <c r="D171" s="1184"/>
      <c r="E171" s="1194"/>
      <c r="F171" s="114" t="s">
        <v>23</v>
      </c>
      <c r="G171" s="117">
        <f>G169+G170</f>
        <v>890516</v>
      </c>
      <c r="H171" s="1193"/>
      <c r="I171" s="117">
        <f>I169+I170</f>
        <v>890516</v>
      </c>
      <c r="J171" s="117">
        <f>J169+J170</f>
        <v>890516</v>
      </c>
      <c r="K171" s="117">
        <f>K169+K170</f>
        <v>0</v>
      </c>
      <c r="L171" s="1184"/>
    </row>
    <row r="172" spans="1:12" s="87" customFormat="1" ht="13.15" hidden="1" customHeight="1">
      <c r="A172" s="1194">
        <v>22</v>
      </c>
      <c r="B172" s="1195"/>
      <c r="C172" s="1195" t="s">
        <v>301</v>
      </c>
      <c r="D172" s="1202" t="s">
        <v>305</v>
      </c>
      <c r="E172" s="1194">
        <v>2020</v>
      </c>
      <c r="F172" s="114" t="s">
        <v>21</v>
      </c>
      <c r="G172" s="117">
        <v>111000</v>
      </c>
      <c r="H172" s="1193" t="s">
        <v>239</v>
      </c>
      <c r="I172" s="117">
        <f>J172+K172</f>
        <v>111000</v>
      </c>
      <c r="J172" s="117">
        <v>111000</v>
      </c>
      <c r="K172" s="117">
        <v>0</v>
      </c>
      <c r="L172" s="1184" t="s">
        <v>306</v>
      </c>
    </row>
    <row r="173" spans="1:12" s="87" customFormat="1" hidden="1">
      <c r="A173" s="1194"/>
      <c r="B173" s="1195"/>
      <c r="C173" s="1195"/>
      <c r="D173" s="1202"/>
      <c r="E173" s="1194"/>
      <c r="F173" s="114" t="s">
        <v>22</v>
      </c>
      <c r="G173" s="117"/>
      <c r="H173" s="1193"/>
      <c r="I173" s="117">
        <f>J173+K173</f>
        <v>0</v>
      </c>
      <c r="J173" s="117"/>
      <c r="K173" s="117"/>
      <c r="L173" s="1184"/>
    </row>
    <row r="174" spans="1:12" s="87" customFormat="1" hidden="1">
      <c r="A174" s="1194"/>
      <c r="B174" s="1195"/>
      <c r="C174" s="1195"/>
      <c r="D174" s="1202"/>
      <c r="E174" s="1194"/>
      <c r="F174" s="114" t="s">
        <v>23</v>
      </c>
      <c r="G174" s="117">
        <f>G172+G173</f>
        <v>111000</v>
      </c>
      <c r="H174" s="1193"/>
      <c r="I174" s="117">
        <f>I172+I173</f>
        <v>111000</v>
      </c>
      <c r="J174" s="117">
        <f>J172+J173</f>
        <v>111000</v>
      </c>
      <c r="K174" s="117">
        <f>K172+K173</f>
        <v>0</v>
      </c>
      <c r="L174" s="1184"/>
    </row>
    <row r="175" spans="1:12" s="87" customFormat="1" ht="16.899999999999999" customHeight="1">
      <c r="A175" s="1194">
        <v>13</v>
      </c>
      <c r="B175" s="1195"/>
      <c r="C175" s="1195" t="s">
        <v>301</v>
      </c>
      <c r="D175" s="1202" t="s">
        <v>539</v>
      </c>
      <c r="E175" s="1194">
        <v>2020</v>
      </c>
      <c r="F175" s="114" t="s">
        <v>21</v>
      </c>
      <c r="G175" s="117">
        <v>0</v>
      </c>
      <c r="H175" s="1193" t="s">
        <v>239</v>
      </c>
      <c r="I175" s="117">
        <f>J175+K175</f>
        <v>0</v>
      </c>
      <c r="J175" s="117">
        <v>0</v>
      </c>
      <c r="K175" s="117">
        <v>0</v>
      </c>
      <c r="L175" s="1184" t="s">
        <v>483</v>
      </c>
    </row>
    <row r="176" spans="1:12" s="87" customFormat="1" ht="16.899999999999999" customHeight="1">
      <c r="A176" s="1194"/>
      <c r="B176" s="1195"/>
      <c r="C176" s="1195"/>
      <c r="D176" s="1202"/>
      <c r="E176" s="1194"/>
      <c r="F176" s="114" t="s">
        <v>22</v>
      </c>
      <c r="G176" s="117">
        <v>1155000</v>
      </c>
      <c r="H176" s="1193"/>
      <c r="I176" s="117">
        <f>J176+K176</f>
        <v>1155000</v>
      </c>
      <c r="J176" s="117">
        <v>1155000</v>
      </c>
      <c r="K176" s="117"/>
      <c r="L176" s="1184"/>
    </row>
    <row r="177" spans="1:12" s="87" customFormat="1" ht="16.899999999999999" customHeight="1">
      <c r="A177" s="1194"/>
      <c r="B177" s="1195"/>
      <c r="C177" s="1195"/>
      <c r="D177" s="1202"/>
      <c r="E177" s="1194"/>
      <c r="F177" s="114" t="s">
        <v>23</v>
      </c>
      <c r="G177" s="117">
        <f>G175+G176</f>
        <v>1155000</v>
      </c>
      <c r="H177" s="1193"/>
      <c r="I177" s="117">
        <f>I175+I176</f>
        <v>1155000</v>
      </c>
      <c r="J177" s="117">
        <f>J175+J176</f>
        <v>1155000</v>
      </c>
      <c r="K177" s="117">
        <f>K175+K176</f>
        <v>0</v>
      </c>
      <c r="L177" s="1184"/>
    </row>
    <row r="178" spans="1:12" s="87" customFormat="1" ht="13.15" customHeight="1">
      <c r="A178" s="1194">
        <v>14</v>
      </c>
      <c r="B178" s="1195"/>
      <c r="C178" s="1195" t="s">
        <v>301</v>
      </c>
      <c r="D178" s="1184" t="s">
        <v>307</v>
      </c>
      <c r="E178" s="1194">
        <v>2020</v>
      </c>
      <c r="F178" s="114" t="s">
        <v>21</v>
      </c>
      <c r="G178" s="117">
        <v>500000</v>
      </c>
      <c r="H178" s="1193" t="s">
        <v>239</v>
      </c>
      <c r="I178" s="117">
        <f>J178+K178</f>
        <v>500000</v>
      </c>
      <c r="J178" s="117">
        <v>500000</v>
      </c>
      <c r="K178" s="117">
        <v>0</v>
      </c>
      <c r="L178" s="1184" t="s">
        <v>306</v>
      </c>
    </row>
    <row r="179" spans="1:12" s="87" customFormat="1">
      <c r="A179" s="1194"/>
      <c r="B179" s="1195"/>
      <c r="C179" s="1195"/>
      <c r="D179" s="1184"/>
      <c r="E179" s="1194"/>
      <c r="F179" s="114" t="s">
        <v>22</v>
      </c>
      <c r="G179" s="117">
        <v>-296346</v>
      </c>
      <c r="H179" s="1193"/>
      <c r="I179" s="117">
        <f>J179+K179</f>
        <v>-296346</v>
      </c>
      <c r="J179" s="117">
        <v>-296346</v>
      </c>
      <c r="K179" s="117"/>
      <c r="L179" s="1184"/>
    </row>
    <row r="180" spans="1:12" s="87" customFormat="1">
      <c r="A180" s="1194"/>
      <c r="B180" s="1195"/>
      <c r="C180" s="1195"/>
      <c r="D180" s="1184"/>
      <c r="E180" s="1194"/>
      <c r="F180" s="114" t="s">
        <v>23</v>
      </c>
      <c r="G180" s="117">
        <f>G178+G179</f>
        <v>203654</v>
      </c>
      <c r="H180" s="1193"/>
      <c r="I180" s="117">
        <f>I178+I179</f>
        <v>203654</v>
      </c>
      <c r="J180" s="117">
        <f>J178+J179</f>
        <v>203654</v>
      </c>
      <c r="K180" s="117">
        <f>K178+K179</f>
        <v>0</v>
      </c>
      <c r="L180" s="1184"/>
    </row>
    <row r="181" spans="1:12" s="87" customFormat="1" ht="13.15" hidden="1" customHeight="1">
      <c r="A181" s="1194">
        <v>5</v>
      </c>
      <c r="B181" s="1195"/>
      <c r="C181" s="1195" t="s">
        <v>301</v>
      </c>
      <c r="D181" s="1184" t="s">
        <v>308</v>
      </c>
      <c r="E181" s="1194">
        <v>2020</v>
      </c>
      <c r="F181" s="114" t="s">
        <v>21</v>
      </c>
      <c r="G181" s="117">
        <v>32600</v>
      </c>
      <c r="H181" s="1193" t="s">
        <v>239</v>
      </c>
      <c r="I181" s="117">
        <f>J181+K181</f>
        <v>32600</v>
      </c>
      <c r="J181" s="117">
        <v>32600</v>
      </c>
      <c r="K181" s="117">
        <v>0</v>
      </c>
      <c r="L181" s="1184" t="s">
        <v>306</v>
      </c>
    </row>
    <row r="182" spans="1:12" s="87" customFormat="1" hidden="1">
      <c r="A182" s="1194"/>
      <c r="B182" s="1195"/>
      <c r="C182" s="1195"/>
      <c r="D182" s="1184"/>
      <c r="E182" s="1194"/>
      <c r="F182" s="114" t="s">
        <v>22</v>
      </c>
      <c r="G182" s="117"/>
      <c r="H182" s="1193"/>
      <c r="I182" s="117">
        <f>J182+K182</f>
        <v>0</v>
      </c>
      <c r="J182" s="117"/>
      <c r="K182" s="117"/>
      <c r="L182" s="1184"/>
    </row>
    <row r="183" spans="1:12" s="87" customFormat="1" hidden="1">
      <c r="A183" s="1194"/>
      <c r="B183" s="1195"/>
      <c r="C183" s="1195"/>
      <c r="D183" s="1184"/>
      <c r="E183" s="1194"/>
      <c r="F183" s="114" t="s">
        <v>23</v>
      </c>
      <c r="G183" s="117">
        <f>G181+G182</f>
        <v>32600</v>
      </c>
      <c r="H183" s="1193"/>
      <c r="I183" s="117">
        <f>I181+I182</f>
        <v>32600</v>
      </c>
      <c r="J183" s="117">
        <f>J181+J182</f>
        <v>32600</v>
      </c>
      <c r="K183" s="117">
        <f>K181+K182</f>
        <v>0</v>
      </c>
      <c r="L183" s="1184"/>
    </row>
    <row r="184" spans="1:12" s="87" customFormat="1" ht="13.15" hidden="1" customHeight="1">
      <c r="A184" s="1194">
        <v>24</v>
      </c>
      <c r="B184" s="1195"/>
      <c r="C184" s="1195" t="s">
        <v>309</v>
      </c>
      <c r="D184" s="1184" t="s">
        <v>251</v>
      </c>
      <c r="E184" s="1194">
        <v>2020</v>
      </c>
      <c r="F184" s="114" t="s">
        <v>21</v>
      </c>
      <c r="G184" s="117">
        <v>100000</v>
      </c>
      <c r="H184" s="1193" t="s">
        <v>239</v>
      </c>
      <c r="I184" s="117">
        <f>J184+K184</f>
        <v>100000</v>
      </c>
      <c r="J184" s="117">
        <v>100000</v>
      </c>
      <c r="K184" s="117">
        <v>0</v>
      </c>
      <c r="L184" s="1184" t="s">
        <v>310</v>
      </c>
    </row>
    <row r="185" spans="1:12" s="87" customFormat="1" hidden="1">
      <c r="A185" s="1194"/>
      <c r="B185" s="1195"/>
      <c r="C185" s="1195"/>
      <c r="D185" s="1184"/>
      <c r="E185" s="1194"/>
      <c r="F185" s="114" t="s">
        <v>22</v>
      </c>
      <c r="G185" s="117"/>
      <c r="H185" s="1193"/>
      <c r="I185" s="117">
        <f>J185+K185</f>
        <v>0</v>
      </c>
      <c r="J185" s="117"/>
      <c r="K185" s="117"/>
      <c r="L185" s="1184"/>
    </row>
    <row r="186" spans="1:12" s="87" customFormat="1" hidden="1">
      <c r="A186" s="1194"/>
      <c r="B186" s="1195"/>
      <c r="C186" s="1195"/>
      <c r="D186" s="1184"/>
      <c r="E186" s="1194"/>
      <c r="F186" s="114" t="s">
        <v>23</v>
      </c>
      <c r="G186" s="117">
        <f>G184+G185</f>
        <v>100000</v>
      </c>
      <c r="H186" s="1193"/>
      <c r="I186" s="117">
        <f>I184+I185</f>
        <v>100000</v>
      </c>
      <c r="J186" s="117">
        <f>J184+J185</f>
        <v>100000</v>
      </c>
      <c r="K186" s="117">
        <f>K184+K185</f>
        <v>0</v>
      </c>
      <c r="L186" s="1184"/>
    </row>
    <row r="187" spans="1:12" s="87" customFormat="1" ht="13.15" hidden="1" customHeight="1">
      <c r="A187" s="1194">
        <v>9</v>
      </c>
      <c r="B187" s="1195"/>
      <c r="C187" s="1195" t="s">
        <v>309</v>
      </c>
      <c r="D187" s="1184" t="s">
        <v>251</v>
      </c>
      <c r="E187" s="1194">
        <v>2020</v>
      </c>
      <c r="F187" s="114" t="s">
        <v>21</v>
      </c>
      <c r="G187" s="117">
        <v>17000</v>
      </c>
      <c r="H187" s="1193" t="s">
        <v>239</v>
      </c>
      <c r="I187" s="117">
        <f>J187+K187</f>
        <v>17000</v>
      </c>
      <c r="J187" s="117">
        <v>17000</v>
      </c>
      <c r="K187" s="117">
        <v>0</v>
      </c>
      <c r="L187" s="1184" t="s">
        <v>311</v>
      </c>
    </row>
    <row r="188" spans="1:12" s="87" customFormat="1" hidden="1">
      <c r="A188" s="1194"/>
      <c r="B188" s="1195"/>
      <c r="C188" s="1195"/>
      <c r="D188" s="1184"/>
      <c r="E188" s="1194"/>
      <c r="F188" s="114" t="s">
        <v>22</v>
      </c>
      <c r="G188" s="117"/>
      <c r="H188" s="1193"/>
      <c r="I188" s="117">
        <f>J188+K188</f>
        <v>0</v>
      </c>
      <c r="J188" s="117"/>
      <c r="K188" s="117"/>
      <c r="L188" s="1184"/>
    </row>
    <row r="189" spans="1:12" s="87" customFormat="1" hidden="1">
      <c r="A189" s="1194"/>
      <c r="B189" s="1195"/>
      <c r="C189" s="1195"/>
      <c r="D189" s="1184"/>
      <c r="E189" s="1194"/>
      <c r="F189" s="114" t="s">
        <v>23</v>
      </c>
      <c r="G189" s="117">
        <f>G187+G188</f>
        <v>17000</v>
      </c>
      <c r="H189" s="1193"/>
      <c r="I189" s="117">
        <f>I187+I188</f>
        <v>17000</v>
      </c>
      <c r="J189" s="117">
        <f>J187+J188</f>
        <v>17000</v>
      </c>
      <c r="K189" s="117">
        <f>K187+K188</f>
        <v>0</v>
      </c>
      <c r="L189" s="1184"/>
    </row>
    <row r="190" spans="1:12" s="87" customFormat="1" ht="13.15" customHeight="1">
      <c r="A190" s="1194">
        <v>15</v>
      </c>
      <c r="B190" s="1195"/>
      <c r="C190" s="1195" t="s">
        <v>309</v>
      </c>
      <c r="D190" s="1184" t="s">
        <v>251</v>
      </c>
      <c r="E190" s="1194">
        <v>2020</v>
      </c>
      <c r="F190" s="114" t="s">
        <v>21</v>
      </c>
      <c r="G190" s="117">
        <v>0</v>
      </c>
      <c r="H190" s="1193" t="s">
        <v>239</v>
      </c>
      <c r="I190" s="117">
        <f>J190+K190</f>
        <v>0</v>
      </c>
      <c r="J190" s="117">
        <v>0</v>
      </c>
      <c r="K190" s="117">
        <v>0</v>
      </c>
      <c r="L190" s="1184" t="s">
        <v>482</v>
      </c>
    </row>
    <row r="191" spans="1:12" s="87" customFormat="1">
      <c r="A191" s="1194"/>
      <c r="B191" s="1195"/>
      <c r="C191" s="1195"/>
      <c r="D191" s="1184"/>
      <c r="E191" s="1194"/>
      <c r="F191" s="114" t="s">
        <v>22</v>
      </c>
      <c r="G191" s="117">
        <v>243000</v>
      </c>
      <c r="H191" s="1193"/>
      <c r="I191" s="117">
        <f>J191+K191</f>
        <v>243000</v>
      </c>
      <c r="J191" s="117">
        <v>243000</v>
      </c>
      <c r="K191" s="117"/>
      <c r="L191" s="1184"/>
    </row>
    <row r="192" spans="1:12" s="87" customFormat="1">
      <c r="A192" s="1194"/>
      <c r="B192" s="1195"/>
      <c r="C192" s="1195"/>
      <c r="D192" s="1184"/>
      <c r="E192" s="1194"/>
      <c r="F192" s="114" t="s">
        <v>23</v>
      </c>
      <c r="G192" s="117">
        <f>G190+G191</f>
        <v>243000</v>
      </c>
      <c r="H192" s="1193"/>
      <c r="I192" s="117">
        <f>I190+I191</f>
        <v>243000</v>
      </c>
      <c r="J192" s="117">
        <f>J190+J191</f>
        <v>243000</v>
      </c>
      <c r="K192" s="117">
        <f>K190+K191</f>
        <v>0</v>
      </c>
      <c r="L192" s="1184"/>
    </row>
    <row r="193" spans="1:12" s="87" customFormat="1" ht="13.15" hidden="1" customHeight="1">
      <c r="A193" s="1194">
        <v>10</v>
      </c>
      <c r="B193" s="1195"/>
      <c r="C193" s="1195" t="s">
        <v>312</v>
      </c>
      <c r="D193" s="1184" t="s">
        <v>313</v>
      </c>
      <c r="E193" s="1194">
        <v>2020</v>
      </c>
      <c r="F193" s="114" t="s">
        <v>21</v>
      </c>
      <c r="G193" s="117">
        <v>0</v>
      </c>
      <c r="H193" s="1193" t="s">
        <v>239</v>
      </c>
      <c r="I193" s="117">
        <f>J193+K193</f>
        <v>0</v>
      </c>
      <c r="J193" s="117">
        <v>0</v>
      </c>
      <c r="K193" s="117">
        <v>0</v>
      </c>
      <c r="L193" s="1184" t="s">
        <v>314</v>
      </c>
    </row>
    <row r="194" spans="1:12" s="87" customFormat="1" hidden="1">
      <c r="A194" s="1194"/>
      <c r="B194" s="1195"/>
      <c r="C194" s="1195"/>
      <c r="D194" s="1184"/>
      <c r="E194" s="1194"/>
      <c r="F194" s="114" t="s">
        <v>22</v>
      </c>
      <c r="G194" s="117"/>
      <c r="H194" s="1193"/>
      <c r="I194" s="117">
        <f>J194+K194</f>
        <v>0</v>
      </c>
      <c r="J194" s="117"/>
      <c r="K194" s="117"/>
      <c r="L194" s="1184"/>
    </row>
    <row r="195" spans="1:12" s="87" customFormat="1" hidden="1">
      <c r="A195" s="1194"/>
      <c r="B195" s="1195"/>
      <c r="C195" s="1195"/>
      <c r="D195" s="1184"/>
      <c r="E195" s="1194"/>
      <c r="F195" s="114" t="s">
        <v>23</v>
      </c>
      <c r="G195" s="117">
        <f>G193+G194</f>
        <v>0</v>
      </c>
      <c r="H195" s="1193"/>
      <c r="I195" s="117">
        <f>I193+I194</f>
        <v>0</v>
      </c>
      <c r="J195" s="117">
        <f>J193+J194</f>
        <v>0</v>
      </c>
      <c r="K195" s="117">
        <f>K193+K194</f>
        <v>0</v>
      </c>
      <c r="L195" s="1184"/>
    </row>
    <row r="196" spans="1:12" s="87" customFormat="1" ht="13.15" hidden="1" customHeight="1">
      <c r="A196" s="1194">
        <v>26</v>
      </c>
      <c r="B196" s="1195"/>
      <c r="C196" s="1195" t="s">
        <v>315</v>
      </c>
      <c r="D196" s="1184" t="s">
        <v>316</v>
      </c>
      <c r="E196" s="1194">
        <v>2020</v>
      </c>
      <c r="F196" s="114" t="s">
        <v>21</v>
      </c>
      <c r="G196" s="117">
        <v>80000</v>
      </c>
      <c r="H196" s="1193" t="s">
        <v>239</v>
      </c>
      <c r="I196" s="117">
        <f>J196+K196</f>
        <v>80000</v>
      </c>
      <c r="J196" s="117">
        <v>80000</v>
      </c>
      <c r="K196" s="117">
        <v>0</v>
      </c>
      <c r="L196" s="1184" t="s">
        <v>317</v>
      </c>
    </row>
    <row r="197" spans="1:12" s="87" customFormat="1" hidden="1">
      <c r="A197" s="1194"/>
      <c r="B197" s="1195"/>
      <c r="C197" s="1195"/>
      <c r="D197" s="1184"/>
      <c r="E197" s="1194"/>
      <c r="F197" s="114" t="s">
        <v>22</v>
      </c>
      <c r="G197" s="117"/>
      <c r="H197" s="1193"/>
      <c r="I197" s="117">
        <f>J197+K197</f>
        <v>0</v>
      </c>
      <c r="J197" s="117"/>
      <c r="K197" s="117"/>
      <c r="L197" s="1184"/>
    </row>
    <row r="198" spans="1:12" s="87" customFormat="1" hidden="1">
      <c r="A198" s="1194"/>
      <c r="B198" s="1195"/>
      <c r="C198" s="1195"/>
      <c r="D198" s="1184"/>
      <c r="E198" s="1194"/>
      <c r="F198" s="114" t="s">
        <v>23</v>
      </c>
      <c r="G198" s="117">
        <f>G196+G197</f>
        <v>80000</v>
      </c>
      <c r="H198" s="1193"/>
      <c r="I198" s="117">
        <f>I196+I197</f>
        <v>80000</v>
      </c>
      <c r="J198" s="117">
        <f>J196+J197</f>
        <v>80000</v>
      </c>
      <c r="K198" s="117">
        <f>K196+K197</f>
        <v>0</v>
      </c>
      <c r="L198" s="1184"/>
    </row>
    <row r="199" spans="1:12" s="87" customFormat="1" ht="13.15" hidden="1" customHeight="1">
      <c r="A199" s="1194">
        <v>27</v>
      </c>
      <c r="B199" s="1195"/>
      <c r="C199" s="1195" t="s">
        <v>315</v>
      </c>
      <c r="D199" s="1184" t="s">
        <v>318</v>
      </c>
      <c r="E199" s="1194">
        <v>2020</v>
      </c>
      <c r="F199" s="114" t="s">
        <v>21</v>
      </c>
      <c r="G199" s="117">
        <v>100000</v>
      </c>
      <c r="H199" s="1193" t="s">
        <v>239</v>
      </c>
      <c r="I199" s="117">
        <f>J199+K199</f>
        <v>100000</v>
      </c>
      <c r="J199" s="117">
        <v>100000</v>
      </c>
      <c r="K199" s="117">
        <v>0</v>
      </c>
      <c r="L199" s="1184" t="s">
        <v>319</v>
      </c>
    </row>
    <row r="200" spans="1:12" s="87" customFormat="1" hidden="1">
      <c r="A200" s="1194"/>
      <c r="B200" s="1195"/>
      <c r="C200" s="1195"/>
      <c r="D200" s="1184"/>
      <c r="E200" s="1194"/>
      <c r="F200" s="114" t="s">
        <v>22</v>
      </c>
      <c r="G200" s="117"/>
      <c r="H200" s="1193"/>
      <c r="I200" s="117">
        <f>J200+K200</f>
        <v>0</v>
      </c>
      <c r="J200" s="117"/>
      <c r="K200" s="117"/>
      <c r="L200" s="1184"/>
    </row>
    <row r="201" spans="1:12" s="87" customFormat="1" hidden="1">
      <c r="A201" s="1194"/>
      <c r="B201" s="1195"/>
      <c r="C201" s="1195"/>
      <c r="D201" s="1184"/>
      <c r="E201" s="1194"/>
      <c r="F201" s="114" t="s">
        <v>23</v>
      </c>
      <c r="G201" s="117">
        <f>G199+G200</f>
        <v>100000</v>
      </c>
      <c r="H201" s="1193"/>
      <c r="I201" s="117">
        <f>I199+I200</f>
        <v>100000</v>
      </c>
      <c r="J201" s="117">
        <f>J199+J200</f>
        <v>100000</v>
      </c>
      <c r="K201" s="117">
        <f>K199+K200</f>
        <v>0</v>
      </c>
      <c r="L201" s="1184"/>
    </row>
    <row r="202" spans="1:12" s="87" customFormat="1" ht="13.15" hidden="1" customHeight="1">
      <c r="A202" s="1194">
        <v>6</v>
      </c>
      <c r="B202" s="1195"/>
      <c r="C202" s="1195" t="s">
        <v>315</v>
      </c>
      <c r="D202" s="1184" t="s">
        <v>320</v>
      </c>
      <c r="E202" s="1194">
        <v>2020</v>
      </c>
      <c r="F202" s="114" t="s">
        <v>21</v>
      </c>
      <c r="G202" s="117">
        <v>28000</v>
      </c>
      <c r="H202" s="1193" t="s">
        <v>239</v>
      </c>
      <c r="I202" s="117">
        <f>J202+K202</f>
        <v>28000</v>
      </c>
      <c r="J202" s="117">
        <v>28000</v>
      </c>
      <c r="K202" s="117">
        <v>0</v>
      </c>
      <c r="L202" s="1184" t="s">
        <v>319</v>
      </c>
    </row>
    <row r="203" spans="1:12" s="87" customFormat="1" hidden="1">
      <c r="A203" s="1194"/>
      <c r="B203" s="1195"/>
      <c r="C203" s="1195"/>
      <c r="D203" s="1184"/>
      <c r="E203" s="1194"/>
      <c r="F203" s="114" t="s">
        <v>22</v>
      </c>
      <c r="G203" s="117"/>
      <c r="H203" s="1193"/>
      <c r="I203" s="117">
        <f>J203+K203</f>
        <v>0</v>
      </c>
      <c r="J203" s="117"/>
      <c r="K203" s="117"/>
      <c r="L203" s="1184"/>
    </row>
    <row r="204" spans="1:12" s="87" customFormat="1" hidden="1">
      <c r="A204" s="1194"/>
      <c r="B204" s="1195"/>
      <c r="C204" s="1195"/>
      <c r="D204" s="1184"/>
      <c r="E204" s="1194"/>
      <c r="F204" s="114" t="s">
        <v>23</v>
      </c>
      <c r="G204" s="117">
        <f>G202+G203</f>
        <v>28000</v>
      </c>
      <c r="H204" s="1193"/>
      <c r="I204" s="117">
        <f>I202+I203</f>
        <v>28000</v>
      </c>
      <c r="J204" s="117">
        <f>J202+J203</f>
        <v>28000</v>
      </c>
      <c r="K204" s="117">
        <f>K202+K203</f>
        <v>0</v>
      </c>
      <c r="L204" s="1184"/>
    </row>
    <row r="205" spans="1:12" s="87" customFormat="1" ht="21" hidden="1" customHeight="1">
      <c r="A205" s="1194">
        <v>6</v>
      </c>
      <c r="B205" s="1195"/>
      <c r="C205" s="1195" t="s">
        <v>315</v>
      </c>
      <c r="D205" s="1184" t="s">
        <v>484</v>
      </c>
      <c r="E205" s="1194">
        <v>2020</v>
      </c>
      <c r="F205" s="114" t="s">
        <v>21</v>
      </c>
      <c r="G205" s="117">
        <v>89270</v>
      </c>
      <c r="H205" s="1193" t="s">
        <v>239</v>
      </c>
      <c r="I205" s="117">
        <f>J205+K205</f>
        <v>89270</v>
      </c>
      <c r="J205" s="117">
        <v>49270</v>
      </c>
      <c r="K205" s="117">
        <v>40000</v>
      </c>
      <c r="L205" s="1184" t="s">
        <v>317</v>
      </c>
    </row>
    <row r="206" spans="1:12" s="87" customFormat="1" ht="21" hidden="1" customHeight="1">
      <c r="A206" s="1194"/>
      <c r="B206" s="1195"/>
      <c r="C206" s="1195"/>
      <c r="D206" s="1184"/>
      <c r="E206" s="1194"/>
      <c r="F206" s="114" t="s">
        <v>22</v>
      </c>
      <c r="G206" s="117"/>
      <c r="H206" s="1193"/>
      <c r="I206" s="117">
        <f>J206+K206</f>
        <v>0</v>
      </c>
      <c r="J206" s="117"/>
      <c r="K206" s="117"/>
      <c r="L206" s="1184"/>
    </row>
    <row r="207" spans="1:12" s="87" customFormat="1" ht="21" hidden="1" customHeight="1">
      <c r="A207" s="1194"/>
      <c r="B207" s="1195"/>
      <c r="C207" s="1195"/>
      <c r="D207" s="1184"/>
      <c r="E207" s="1194"/>
      <c r="F207" s="114" t="s">
        <v>23</v>
      </c>
      <c r="G207" s="117">
        <f>G205+G206</f>
        <v>89270</v>
      </c>
      <c r="H207" s="1193"/>
      <c r="I207" s="117">
        <f>I205+I206</f>
        <v>89270</v>
      </c>
      <c r="J207" s="117">
        <f>J205+J206</f>
        <v>49270</v>
      </c>
      <c r="K207" s="117">
        <f>K205+K206</f>
        <v>40000</v>
      </c>
      <c r="L207" s="1184"/>
    </row>
    <row r="208" spans="1:12" s="87" customFormat="1" ht="13.15" hidden="1" customHeight="1">
      <c r="A208" s="1194">
        <v>7</v>
      </c>
      <c r="B208" s="1195"/>
      <c r="C208" s="1195" t="s">
        <v>315</v>
      </c>
      <c r="D208" s="1184" t="s">
        <v>321</v>
      </c>
      <c r="E208" s="1194">
        <v>2020</v>
      </c>
      <c r="F208" s="114" t="s">
        <v>21</v>
      </c>
      <c r="G208" s="117">
        <v>29999</v>
      </c>
      <c r="H208" s="1193" t="s">
        <v>239</v>
      </c>
      <c r="I208" s="117">
        <f>J208+K208</f>
        <v>29999</v>
      </c>
      <c r="J208" s="117">
        <v>29999</v>
      </c>
      <c r="K208" s="117">
        <v>0</v>
      </c>
      <c r="L208" s="1184" t="s">
        <v>319</v>
      </c>
    </row>
    <row r="209" spans="1:12" s="87" customFormat="1" hidden="1">
      <c r="A209" s="1194"/>
      <c r="B209" s="1195"/>
      <c r="C209" s="1195"/>
      <c r="D209" s="1184"/>
      <c r="E209" s="1194"/>
      <c r="F209" s="114" t="s">
        <v>22</v>
      </c>
      <c r="G209" s="117"/>
      <c r="H209" s="1193"/>
      <c r="I209" s="117">
        <f>J209+K209</f>
        <v>0</v>
      </c>
      <c r="J209" s="117"/>
      <c r="K209" s="117"/>
      <c r="L209" s="1184"/>
    </row>
    <row r="210" spans="1:12" s="87" customFormat="1" hidden="1">
      <c r="A210" s="1194"/>
      <c r="B210" s="1195"/>
      <c r="C210" s="1195"/>
      <c r="D210" s="1184"/>
      <c r="E210" s="1194"/>
      <c r="F210" s="114" t="s">
        <v>23</v>
      </c>
      <c r="G210" s="117">
        <f>G208+G209</f>
        <v>29999</v>
      </c>
      <c r="H210" s="1193"/>
      <c r="I210" s="117">
        <f>I208+I209</f>
        <v>29999</v>
      </c>
      <c r="J210" s="117">
        <f>J208+J209</f>
        <v>29999</v>
      </c>
      <c r="K210" s="117">
        <f>K208+K209</f>
        <v>0</v>
      </c>
      <c r="L210" s="1184"/>
    </row>
    <row r="211" spans="1:12" s="87" customFormat="1" ht="13.15" hidden="1" customHeight="1">
      <c r="A211" s="1194">
        <v>11</v>
      </c>
      <c r="B211" s="1195"/>
      <c r="C211" s="1195" t="s">
        <v>322</v>
      </c>
      <c r="D211" s="1184" t="s">
        <v>323</v>
      </c>
      <c r="E211" s="1194">
        <v>2020</v>
      </c>
      <c r="F211" s="114" t="s">
        <v>21</v>
      </c>
      <c r="G211" s="117">
        <v>0</v>
      </c>
      <c r="H211" s="1193" t="s">
        <v>239</v>
      </c>
      <c r="I211" s="117">
        <f>J211+K211</f>
        <v>0</v>
      </c>
      <c r="J211" s="117">
        <v>0</v>
      </c>
      <c r="K211" s="117">
        <v>0</v>
      </c>
      <c r="L211" s="1184" t="s">
        <v>324</v>
      </c>
    </row>
    <row r="212" spans="1:12" s="87" customFormat="1" hidden="1">
      <c r="A212" s="1194"/>
      <c r="B212" s="1195"/>
      <c r="C212" s="1195"/>
      <c r="D212" s="1184"/>
      <c r="E212" s="1194"/>
      <c r="F212" s="114" t="s">
        <v>22</v>
      </c>
      <c r="G212" s="117"/>
      <c r="H212" s="1193"/>
      <c r="I212" s="117">
        <f>J212+K212</f>
        <v>0</v>
      </c>
      <c r="J212" s="117"/>
      <c r="K212" s="117"/>
      <c r="L212" s="1184"/>
    </row>
    <row r="213" spans="1:12" s="87" customFormat="1" hidden="1">
      <c r="A213" s="1194"/>
      <c r="B213" s="1195"/>
      <c r="C213" s="1195"/>
      <c r="D213" s="1184"/>
      <c r="E213" s="1194"/>
      <c r="F213" s="114" t="s">
        <v>23</v>
      </c>
      <c r="G213" s="117">
        <f>G211+G212</f>
        <v>0</v>
      </c>
      <c r="H213" s="1193"/>
      <c r="I213" s="117">
        <f>I211+I212</f>
        <v>0</v>
      </c>
      <c r="J213" s="117">
        <f>J211+J212</f>
        <v>0</v>
      </c>
      <c r="K213" s="117">
        <f>K211+K212</f>
        <v>0</v>
      </c>
      <c r="L213" s="1184"/>
    </row>
    <row r="214" spans="1:12" s="87" customFormat="1" ht="13.15" hidden="1" customHeight="1">
      <c r="A214" s="1194">
        <v>30</v>
      </c>
      <c r="B214" s="1195"/>
      <c r="C214" s="1195" t="s">
        <v>322</v>
      </c>
      <c r="D214" s="1184" t="s">
        <v>325</v>
      </c>
      <c r="E214" s="1194">
        <v>2020</v>
      </c>
      <c r="F214" s="114" t="s">
        <v>21</v>
      </c>
      <c r="G214" s="117">
        <v>500000</v>
      </c>
      <c r="H214" s="1193" t="s">
        <v>239</v>
      </c>
      <c r="I214" s="117">
        <f>J214+K214</f>
        <v>500000</v>
      </c>
      <c r="J214" s="117">
        <v>500000</v>
      </c>
      <c r="K214" s="117">
        <v>0</v>
      </c>
      <c r="L214" s="1184" t="s">
        <v>326</v>
      </c>
    </row>
    <row r="215" spans="1:12" s="87" customFormat="1" hidden="1">
      <c r="A215" s="1194"/>
      <c r="B215" s="1195"/>
      <c r="C215" s="1195"/>
      <c r="D215" s="1184"/>
      <c r="E215" s="1194"/>
      <c r="F215" s="114" t="s">
        <v>22</v>
      </c>
      <c r="G215" s="117"/>
      <c r="H215" s="1193"/>
      <c r="I215" s="117">
        <f>J215+K215</f>
        <v>0</v>
      </c>
      <c r="J215" s="117"/>
      <c r="K215" s="117"/>
      <c r="L215" s="1184"/>
    </row>
    <row r="216" spans="1:12" s="87" customFormat="1" hidden="1">
      <c r="A216" s="1194"/>
      <c r="B216" s="1195"/>
      <c r="C216" s="1195"/>
      <c r="D216" s="1184"/>
      <c r="E216" s="1194"/>
      <c r="F216" s="114" t="s">
        <v>23</v>
      </c>
      <c r="G216" s="117">
        <f>G214+G215</f>
        <v>500000</v>
      </c>
      <c r="H216" s="1193"/>
      <c r="I216" s="117">
        <f>I214+I215</f>
        <v>500000</v>
      </c>
      <c r="J216" s="117">
        <f>J214+J215</f>
        <v>500000</v>
      </c>
      <c r="K216" s="117">
        <f>K214+K215</f>
        <v>0</v>
      </c>
      <c r="L216" s="1184"/>
    </row>
    <row r="217" spans="1:12" s="87" customFormat="1" ht="13.15" hidden="1" customHeight="1">
      <c r="A217" s="1194">
        <v>12</v>
      </c>
      <c r="B217" s="1195"/>
      <c r="C217" s="1195" t="s">
        <v>322</v>
      </c>
      <c r="D217" s="1184" t="s">
        <v>327</v>
      </c>
      <c r="E217" s="1194">
        <v>2020</v>
      </c>
      <c r="F217" s="114" t="s">
        <v>21</v>
      </c>
      <c r="G217" s="117">
        <v>42230</v>
      </c>
      <c r="H217" s="1193" t="s">
        <v>239</v>
      </c>
      <c r="I217" s="117">
        <f>J217+K217</f>
        <v>42230</v>
      </c>
      <c r="J217" s="117">
        <v>42230</v>
      </c>
      <c r="K217" s="117">
        <v>0</v>
      </c>
      <c r="L217" s="1184" t="s">
        <v>326</v>
      </c>
    </row>
    <row r="218" spans="1:12" s="87" customFormat="1" hidden="1">
      <c r="A218" s="1194"/>
      <c r="B218" s="1195"/>
      <c r="C218" s="1195"/>
      <c r="D218" s="1184"/>
      <c r="E218" s="1194"/>
      <c r="F218" s="114" t="s">
        <v>22</v>
      </c>
      <c r="G218" s="117"/>
      <c r="H218" s="1193"/>
      <c r="I218" s="117">
        <f>J218+K218</f>
        <v>0</v>
      </c>
      <c r="J218" s="117"/>
      <c r="K218" s="117"/>
      <c r="L218" s="1184"/>
    </row>
    <row r="219" spans="1:12" s="87" customFormat="1" hidden="1">
      <c r="A219" s="1194"/>
      <c r="B219" s="1195"/>
      <c r="C219" s="1195"/>
      <c r="D219" s="1184"/>
      <c r="E219" s="1194"/>
      <c r="F219" s="114" t="s">
        <v>23</v>
      </c>
      <c r="G219" s="117">
        <f>G217+G218</f>
        <v>42230</v>
      </c>
      <c r="H219" s="1193"/>
      <c r="I219" s="117">
        <f>I217+I218</f>
        <v>42230</v>
      </c>
      <c r="J219" s="117">
        <f>J217+J218</f>
        <v>42230</v>
      </c>
      <c r="K219" s="117">
        <f>K217+K218</f>
        <v>0</v>
      </c>
      <c r="L219" s="1184"/>
    </row>
    <row r="220" spans="1:12" s="87" customFormat="1" ht="13.15" hidden="1" customHeight="1">
      <c r="A220" s="1194">
        <v>13</v>
      </c>
      <c r="B220" s="1195"/>
      <c r="C220" s="1195" t="s">
        <v>322</v>
      </c>
      <c r="D220" s="1184" t="s">
        <v>328</v>
      </c>
      <c r="E220" s="1194">
        <v>2020</v>
      </c>
      <c r="F220" s="114" t="s">
        <v>21</v>
      </c>
      <c r="G220" s="117">
        <v>5226</v>
      </c>
      <c r="H220" s="1193" t="s">
        <v>239</v>
      </c>
      <c r="I220" s="117">
        <f>J220+K220</f>
        <v>5226</v>
      </c>
      <c r="J220" s="117">
        <v>5226</v>
      </c>
      <c r="K220" s="117">
        <v>0</v>
      </c>
      <c r="L220" s="1184" t="s">
        <v>326</v>
      </c>
    </row>
    <row r="221" spans="1:12" s="87" customFormat="1" hidden="1">
      <c r="A221" s="1194"/>
      <c r="B221" s="1195"/>
      <c r="C221" s="1195"/>
      <c r="D221" s="1184"/>
      <c r="E221" s="1194"/>
      <c r="F221" s="114" t="s">
        <v>22</v>
      </c>
      <c r="G221" s="117"/>
      <c r="H221" s="1193"/>
      <c r="I221" s="117">
        <f>J221+K221</f>
        <v>0</v>
      </c>
      <c r="J221" s="117"/>
      <c r="K221" s="117"/>
      <c r="L221" s="1184"/>
    </row>
    <row r="222" spans="1:12" s="87" customFormat="1" hidden="1">
      <c r="A222" s="1194"/>
      <c r="B222" s="1195"/>
      <c r="C222" s="1195"/>
      <c r="D222" s="1184"/>
      <c r="E222" s="1194"/>
      <c r="F222" s="114" t="s">
        <v>23</v>
      </c>
      <c r="G222" s="117">
        <f>G220+G221</f>
        <v>5226</v>
      </c>
      <c r="H222" s="1193"/>
      <c r="I222" s="117">
        <f>I220+I221</f>
        <v>5226</v>
      </c>
      <c r="J222" s="117">
        <f>J220+J221</f>
        <v>5226</v>
      </c>
      <c r="K222" s="117">
        <f>K220+K221</f>
        <v>0</v>
      </c>
      <c r="L222" s="1184"/>
    </row>
    <row r="223" spans="1:12" s="87" customFormat="1" ht="13.15" hidden="1" customHeight="1">
      <c r="A223" s="1194">
        <v>2</v>
      </c>
      <c r="B223" s="1195"/>
      <c r="C223" s="1195" t="s">
        <v>322</v>
      </c>
      <c r="D223" s="1184" t="s">
        <v>329</v>
      </c>
      <c r="E223" s="1194">
        <v>2020</v>
      </c>
      <c r="F223" s="114" t="s">
        <v>21</v>
      </c>
      <c r="G223" s="117">
        <v>30299</v>
      </c>
      <c r="H223" s="1193" t="s">
        <v>239</v>
      </c>
      <c r="I223" s="117">
        <f>J223+K223</f>
        <v>30299</v>
      </c>
      <c r="J223" s="117">
        <v>30299</v>
      </c>
      <c r="K223" s="117">
        <v>0</v>
      </c>
      <c r="L223" s="1184" t="s">
        <v>330</v>
      </c>
    </row>
    <row r="224" spans="1:12" s="87" customFormat="1" hidden="1">
      <c r="A224" s="1194"/>
      <c r="B224" s="1195"/>
      <c r="C224" s="1195"/>
      <c r="D224" s="1184"/>
      <c r="E224" s="1194"/>
      <c r="F224" s="114" t="s">
        <v>22</v>
      </c>
      <c r="G224" s="117"/>
      <c r="H224" s="1193"/>
      <c r="I224" s="117">
        <f>J224+K224</f>
        <v>0</v>
      </c>
      <c r="J224" s="117"/>
      <c r="K224" s="117"/>
      <c r="L224" s="1184"/>
    </row>
    <row r="225" spans="1:12" s="87" customFormat="1" hidden="1">
      <c r="A225" s="1194"/>
      <c r="B225" s="1195"/>
      <c r="C225" s="1195"/>
      <c r="D225" s="1184"/>
      <c r="E225" s="1194"/>
      <c r="F225" s="114" t="s">
        <v>23</v>
      </c>
      <c r="G225" s="117">
        <f>G223+G224</f>
        <v>30299</v>
      </c>
      <c r="H225" s="1193"/>
      <c r="I225" s="117">
        <f>I223+I224</f>
        <v>30299</v>
      </c>
      <c r="J225" s="117">
        <f>J223+J224</f>
        <v>30299</v>
      </c>
      <c r="K225" s="117">
        <f>K223+K224</f>
        <v>0</v>
      </c>
      <c r="L225" s="1184"/>
    </row>
    <row r="226" spans="1:12" s="87" customFormat="1" ht="13.15" hidden="1" customHeight="1">
      <c r="A226" s="1194">
        <v>7</v>
      </c>
      <c r="B226" s="1195"/>
      <c r="C226" s="1195" t="s">
        <v>331</v>
      </c>
      <c r="D226" s="1184" t="s">
        <v>332</v>
      </c>
      <c r="E226" s="1194">
        <v>2020</v>
      </c>
      <c r="F226" s="114" t="s">
        <v>21</v>
      </c>
      <c r="G226" s="117">
        <v>100000</v>
      </c>
      <c r="H226" s="1193" t="s">
        <v>239</v>
      </c>
      <c r="I226" s="117">
        <f>J226+K226</f>
        <v>100000</v>
      </c>
      <c r="J226" s="117">
        <v>100000</v>
      </c>
      <c r="K226" s="117">
        <v>0</v>
      </c>
      <c r="L226" s="1184" t="s">
        <v>243</v>
      </c>
    </row>
    <row r="227" spans="1:12" s="87" customFormat="1" hidden="1">
      <c r="A227" s="1194"/>
      <c r="B227" s="1195"/>
      <c r="C227" s="1195"/>
      <c r="D227" s="1184"/>
      <c r="E227" s="1194"/>
      <c r="F227" s="114" t="s">
        <v>22</v>
      </c>
      <c r="G227" s="117"/>
      <c r="H227" s="1193"/>
      <c r="I227" s="117">
        <f>J227+K227</f>
        <v>0</v>
      </c>
      <c r="J227" s="117"/>
      <c r="K227" s="117"/>
      <c r="L227" s="1184"/>
    </row>
    <row r="228" spans="1:12" s="87" customFormat="1" hidden="1">
      <c r="A228" s="1194"/>
      <c r="B228" s="1195"/>
      <c r="C228" s="1195"/>
      <c r="D228" s="1184"/>
      <c r="E228" s="1194"/>
      <c r="F228" s="114" t="s">
        <v>23</v>
      </c>
      <c r="G228" s="117">
        <f>G226+G227</f>
        <v>100000</v>
      </c>
      <c r="H228" s="1193"/>
      <c r="I228" s="117">
        <f>I226+I227</f>
        <v>100000</v>
      </c>
      <c r="J228" s="117">
        <f>J226+J227</f>
        <v>100000</v>
      </c>
      <c r="K228" s="117">
        <f>K226+K227</f>
        <v>0</v>
      </c>
      <c r="L228" s="1184"/>
    </row>
    <row r="229" spans="1:12" s="87" customFormat="1" ht="13.15" hidden="1" customHeight="1">
      <c r="A229" s="1194">
        <v>14</v>
      </c>
      <c r="B229" s="1195"/>
      <c r="C229" s="1195" t="s">
        <v>331</v>
      </c>
      <c r="D229" s="1184" t="s">
        <v>333</v>
      </c>
      <c r="E229" s="1194">
        <v>2020</v>
      </c>
      <c r="F229" s="114" t="s">
        <v>21</v>
      </c>
      <c r="G229" s="117">
        <v>0</v>
      </c>
      <c r="H229" s="1193" t="s">
        <v>239</v>
      </c>
      <c r="I229" s="117">
        <f>J229+K229</f>
        <v>0</v>
      </c>
      <c r="J229" s="117">
        <v>0</v>
      </c>
      <c r="K229" s="117">
        <v>0</v>
      </c>
      <c r="L229" s="1184" t="s">
        <v>243</v>
      </c>
    </row>
    <row r="230" spans="1:12" s="87" customFormat="1" hidden="1">
      <c r="A230" s="1194"/>
      <c r="B230" s="1195"/>
      <c r="C230" s="1195"/>
      <c r="D230" s="1184"/>
      <c r="E230" s="1194"/>
      <c r="F230" s="114" t="s">
        <v>22</v>
      </c>
      <c r="G230" s="117"/>
      <c r="H230" s="1193"/>
      <c r="I230" s="117">
        <f>J230+K230</f>
        <v>0</v>
      </c>
      <c r="J230" s="117"/>
      <c r="K230" s="117"/>
      <c r="L230" s="1184"/>
    </row>
    <row r="231" spans="1:12" s="87" customFormat="1" hidden="1">
      <c r="A231" s="1194"/>
      <c r="B231" s="1195"/>
      <c r="C231" s="1195"/>
      <c r="D231" s="1184"/>
      <c r="E231" s="1194"/>
      <c r="F231" s="114" t="s">
        <v>23</v>
      </c>
      <c r="G231" s="117">
        <f>G229+G230</f>
        <v>0</v>
      </c>
      <c r="H231" s="1193"/>
      <c r="I231" s="117">
        <f>I229+I230</f>
        <v>0</v>
      </c>
      <c r="J231" s="117">
        <f>J229+J230</f>
        <v>0</v>
      </c>
      <c r="K231" s="117">
        <f>K229+K230</f>
        <v>0</v>
      </c>
      <c r="L231" s="1184"/>
    </row>
    <row r="232" spans="1:12" s="87" customFormat="1" ht="13.15" hidden="1" customHeight="1">
      <c r="A232" s="1194">
        <v>9</v>
      </c>
      <c r="B232" s="1195"/>
      <c r="C232" s="1195" t="s">
        <v>331</v>
      </c>
      <c r="D232" s="1184" t="s">
        <v>334</v>
      </c>
      <c r="E232" s="1194">
        <v>2020</v>
      </c>
      <c r="F232" s="114" t="s">
        <v>21</v>
      </c>
      <c r="G232" s="117">
        <v>400000</v>
      </c>
      <c r="H232" s="1193" t="s">
        <v>239</v>
      </c>
      <c r="I232" s="117">
        <f>J232+K232</f>
        <v>400000</v>
      </c>
      <c r="J232" s="117">
        <v>400000</v>
      </c>
      <c r="K232" s="117">
        <v>0</v>
      </c>
      <c r="L232" s="1184" t="s">
        <v>243</v>
      </c>
    </row>
    <row r="233" spans="1:12" s="87" customFormat="1" hidden="1">
      <c r="A233" s="1194"/>
      <c r="B233" s="1195"/>
      <c r="C233" s="1195"/>
      <c r="D233" s="1184"/>
      <c r="E233" s="1194"/>
      <c r="F233" s="114" t="s">
        <v>22</v>
      </c>
      <c r="G233" s="117"/>
      <c r="H233" s="1193"/>
      <c r="I233" s="117">
        <f>J233+K233</f>
        <v>0</v>
      </c>
      <c r="J233" s="117"/>
      <c r="K233" s="117"/>
      <c r="L233" s="1184"/>
    </row>
    <row r="234" spans="1:12" s="87" customFormat="1" hidden="1">
      <c r="A234" s="1194"/>
      <c r="B234" s="1195"/>
      <c r="C234" s="1195"/>
      <c r="D234" s="1184"/>
      <c r="E234" s="1194"/>
      <c r="F234" s="114" t="s">
        <v>23</v>
      </c>
      <c r="G234" s="117">
        <f>G232+G233</f>
        <v>400000</v>
      </c>
      <c r="H234" s="1193"/>
      <c r="I234" s="117">
        <f>I232+I233</f>
        <v>400000</v>
      </c>
      <c r="J234" s="117">
        <f>J232+J233</f>
        <v>400000</v>
      </c>
      <c r="K234" s="117">
        <f>K232+K233</f>
        <v>0</v>
      </c>
      <c r="L234" s="1184"/>
    </row>
    <row r="235" spans="1:12" s="113" customFormat="1" ht="13.15" hidden="1" customHeight="1">
      <c r="A235" s="1188"/>
      <c r="B235" s="1197" t="s">
        <v>335</v>
      </c>
      <c r="C235" s="1197"/>
      <c r="D235" s="1198" t="s">
        <v>207</v>
      </c>
      <c r="E235" s="1188" t="s">
        <v>239</v>
      </c>
      <c r="F235" s="111" t="s">
        <v>21</v>
      </c>
      <c r="G235" s="112">
        <f>G238+G241+G244</f>
        <v>66060</v>
      </c>
      <c r="H235" s="1185" t="s">
        <v>239</v>
      </c>
      <c r="I235" s="112">
        <f t="shared" ref="I235:K236" si="11">I238+I241+I244</f>
        <v>66060</v>
      </c>
      <c r="J235" s="112">
        <f t="shared" si="11"/>
        <v>48060</v>
      </c>
      <c r="K235" s="112">
        <f t="shared" si="11"/>
        <v>18000</v>
      </c>
      <c r="L235" s="1188" t="s">
        <v>239</v>
      </c>
    </row>
    <row r="236" spans="1:12" s="113" customFormat="1" hidden="1">
      <c r="A236" s="1188"/>
      <c r="B236" s="1197"/>
      <c r="C236" s="1197"/>
      <c r="D236" s="1198"/>
      <c r="E236" s="1188"/>
      <c r="F236" s="111" t="s">
        <v>22</v>
      </c>
      <c r="G236" s="112">
        <f>G239+G242+G245</f>
        <v>0</v>
      </c>
      <c r="H236" s="1185"/>
      <c r="I236" s="112">
        <f t="shared" si="11"/>
        <v>0</v>
      </c>
      <c r="J236" s="112">
        <f t="shared" si="11"/>
        <v>0</v>
      </c>
      <c r="K236" s="112">
        <f t="shared" si="11"/>
        <v>0</v>
      </c>
      <c r="L236" s="1188"/>
    </row>
    <row r="237" spans="1:12" s="113" customFormat="1" hidden="1">
      <c r="A237" s="1188"/>
      <c r="B237" s="1197"/>
      <c r="C237" s="1197"/>
      <c r="D237" s="1198"/>
      <c r="E237" s="1188"/>
      <c r="F237" s="111" t="s">
        <v>23</v>
      </c>
      <c r="G237" s="112">
        <f>G235+G236</f>
        <v>66060</v>
      </c>
      <c r="H237" s="1185"/>
      <c r="I237" s="112">
        <f>I235+I236</f>
        <v>66060</v>
      </c>
      <c r="J237" s="112">
        <f>J235+J236</f>
        <v>48060</v>
      </c>
      <c r="K237" s="112">
        <f>K235+K236</f>
        <v>18000</v>
      </c>
      <c r="L237" s="1188"/>
    </row>
    <row r="238" spans="1:12" s="87" customFormat="1" ht="13.15" hidden="1" customHeight="1">
      <c r="A238" s="1194">
        <v>15</v>
      </c>
      <c r="B238" s="1195"/>
      <c r="C238" s="1195" t="s">
        <v>336</v>
      </c>
      <c r="D238" s="1184" t="s">
        <v>337</v>
      </c>
      <c r="E238" s="1194">
        <v>2020</v>
      </c>
      <c r="F238" s="114" t="s">
        <v>21</v>
      </c>
      <c r="G238" s="117">
        <v>0</v>
      </c>
      <c r="H238" s="1193" t="s">
        <v>239</v>
      </c>
      <c r="I238" s="117">
        <f>J238+K238</f>
        <v>0</v>
      </c>
      <c r="J238" s="117">
        <v>0</v>
      </c>
      <c r="K238" s="117">
        <v>0</v>
      </c>
      <c r="L238" s="1184" t="s">
        <v>338</v>
      </c>
    </row>
    <row r="239" spans="1:12" s="87" customFormat="1" hidden="1">
      <c r="A239" s="1194"/>
      <c r="B239" s="1195"/>
      <c r="C239" s="1195"/>
      <c r="D239" s="1184"/>
      <c r="E239" s="1194"/>
      <c r="F239" s="114" t="s">
        <v>22</v>
      </c>
      <c r="G239" s="117"/>
      <c r="H239" s="1193"/>
      <c r="I239" s="117">
        <f>J239+K239</f>
        <v>0</v>
      </c>
      <c r="J239" s="117"/>
      <c r="K239" s="117"/>
      <c r="L239" s="1184"/>
    </row>
    <row r="240" spans="1:12" s="87" customFormat="1" hidden="1">
      <c r="A240" s="1194"/>
      <c r="B240" s="1195"/>
      <c r="C240" s="1195"/>
      <c r="D240" s="1184"/>
      <c r="E240" s="1194"/>
      <c r="F240" s="114" t="s">
        <v>23</v>
      </c>
      <c r="G240" s="117">
        <f>G238+G239</f>
        <v>0</v>
      </c>
      <c r="H240" s="1193"/>
      <c r="I240" s="117">
        <f>I238+I239</f>
        <v>0</v>
      </c>
      <c r="J240" s="117">
        <f>J238+J239</f>
        <v>0</v>
      </c>
      <c r="K240" s="117">
        <f>K238+K239</f>
        <v>0</v>
      </c>
      <c r="L240" s="1184"/>
    </row>
    <row r="241" spans="1:12" s="87" customFormat="1" ht="13.15" hidden="1" customHeight="1">
      <c r="A241" s="1194">
        <v>16</v>
      </c>
      <c r="B241" s="1195"/>
      <c r="C241" s="1195" t="s">
        <v>336</v>
      </c>
      <c r="D241" s="1184" t="s">
        <v>339</v>
      </c>
      <c r="E241" s="1194">
        <v>2020</v>
      </c>
      <c r="F241" s="114" t="s">
        <v>21</v>
      </c>
      <c r="G241" s="117">
        <v>48060</v>
      </c>
      <c r="H241" s="1193" t="s">
        <v>239</v>
      </c>
      <c r="I241" s="117">
        <f>J241+K241</f>
        <v>48060</v>
      </c>
      <c r="J241" s="117">
        <v>48060</v>
      </c>
      <c r="K241" s="117">
        <v>0</v>
      </c>
      <c r="L241" s="1184" t="s">
        <v>338</v>
      </c>
    </row>
    <row r="242" spans="1:12" s="87" customFormat="1" hidden="1">
      <c r="A242" s="1194"/>
      <c r="B242" s="1195"/>
      <c r="C242" s="1195"/>
      <c r="D242" s="1184"/>
      <c r="E242" s="1194"/>
      <c r="F242" s="114" t="s">
        <v>22</v>
      </c>
      <c r="G242" s="117"/>
      <c r="H242" s="1193"/>
      <c r="I242" s="117">
        <f>J242+K242</f>
        <v>0</v>
      </c>
      <c r="J242" s="117"/>
      <c r="K242" s="117"/>
      <c r="L242" s="1184"/>
    </row>
    <row r="243" spans="1:12" s="87" customFormat="1" hidden="1">
      <c r="A243" s="1194"/>
      <c r="B243" s="1195"/>
      <c r="C243" s="1195"/>
      <c r="D243" s="1184"/>
      <c r="E243" s="1194"/>
      <c r="F243" s="114" t="s">
        <v>23</v>
      </c>
      <c r="G243" s="117">
        <f>G241+G242</f>
        <v>48060</v>
      </c>
      <c r="H243" s="1193"/>
      <c r="I243" s="117">
        <f>I241+I242</f>
        <v>48060</v>
      </c>
      <c r="J243" s="117">
        <f>J241+J242</f>
        <v>48060</v>
      </c>
      <c r="K243" s="117">
        <f>K241+K242</f>
        <v>0</v>
      </c>
      <c r="L243" s="1184"/>
    </row>
    <row r="244" spans="1:12" s="87" customFormat="1" ht="13.15" hidden="1" customHeight="1">
      <c r="A244" s="1194">
        <v>4</v>
      </c>
      <c r="B244" s="1195"/>
      <c r="C244" s="1195" t="s">
        <v>336</v>
      </c>
      <c r="D244" s="1184" t="s">
        <v>340</v>
      </c>
      <c r="E244" s="1194">
        <v>2020</v>
      </c>
      <c r="F244" s="114" t="s">
        <v>21</v>
      </c>
      <c r="G244" s="117">
        <v>18000</v>
      </c>
      <c r="H244" s="1193" t="s">
        <v>239</v>
      </c>
      <c r="I244" s="117">
        <f>J244+K244</f>
        <v>18000</v>
      </c>
      <c r="J244" s="117">
        <v>0</v>
      </c>
      <c r="K244" s="117">
        <v>18000</v>
      </c>
      <c r="L244" s="1184" t="s">
        <v>338</v>
      </c>
    </row>
    <row r="245" spans="1:12" s="87" customFormat="1" hidden="1">
      <c r="A245" s="1194"/>
      <c r="B245" s="1195"/>
      <c r="C245" s="1195"/>
      <c r="D245" s="1184"/>
      <c r="E245" s="1194"/>
      <c r="F245" s="114" t="s">
        <v>22</v>
      </c>
      <c r="G245" s="117"/>
      <c r="H245" s="1193"/>
      <c r="I245" s="117">
        <f>J245+K245</f>
        <v>0</v>
      </c>
      <c r="J245" s="117"/>
      <c r="K245" s="117"/>
      <c r="L245" s="1184"/>
    </row>
    <row r="246" spans="1:12" s="87" customFormat="1" hidden="1">
      <c r="A246" s="1194"/>
      <c r="B246" s="1195"/>
      <c r="C246" s="1195"/>
      <c r="D246" s="1184"/>
      <c r="E246" s="1194"/>
      <c r="F246" s="114" t="s">
        <v>23</v>
      </c>
      <c r="G246" s="117">
        <f>G244+G245</f>
        <v>18000</v>
      </c>
      <c r="H246" s="1193"/>
      <c r="I246" s="117">
        <f>I244+I245</f>
        <v>18000</v>
      </c>
      <c r="J246" s="117">
        <f>J244+J245</f>
        <v>0</v>
      </c>
      <c r="K246" s="117">
        <f>K244+K245</f>
        <v>18000</v>
      </c>
      <c r="L246" s="1184"/>
    </row>
    <row r="247" spans="1:12" s="113" customFormat="1" ht="13.15" hidden="1" customHeight="1">
      <c r="A247" s="1188"/>
      <c r="B247" s="1197" t="s">
        <v>341</v>
      </c>
      <c r="C247" s="1197"/>
      <c r="D247" s="1198" t="s">
        <v>342</v>
      </c>
      <c r="E247" s="1188" t="s">
        <v>239</v>
      </c>
      <c r="F247" s="111" t="s">
        <v>21</v>
      </c>
      <c r="G247" s="112">
        <f>G250</f>
        <v>2600000</v>
      </c>
      <c r="H247" s="1185" t="str">
        <f>H250</f>
        <v>x</v>
      </c>
      <c r="I247" s="112">
        <f>I250</f>
        <v>2600000</v>
      </c>
      <c r="J247" s="112">
        <f>J250</f>
        <v>2600000</v>
      </c>
      <c r="K247" s="112">
        <f>K250</f>
        <v>0</v>
      </c>
      <c r="L247" s="1188" t="s">
        <v>239</v>
      </c>
    </row>
    <row r="248" spans="1:12" s="113" customFormat="1" hidden="1">
      <c r="A248" s="1188"/>
      <c r="B248" s="1197"/>
      <c r="C248" s="1197"/>
      <c r="D248" s="1198"/>
      <c r="E248" s="1188"/>
      <c r="F248" s="111" t="s">
        <v>22</v>
      </c>
      <c r="G248" s="112">
        <f>G251</f>
        <v>0</v>
      </c>
      <c r="H248" s="1185"/>
      <c r="I248" s="112">
        <f>I251</f>
        <v>0</v>
      </c>
      <c r="J248" s="112">
        <f>J251</f>
        <v>0</v>
      </c>
      <c r="K248" s="112">
        <f>K251</f>
        <v>0</v>
      </c>
      <c r="L248" s="1188"/>
    </row>
    <row r="249" spans="1:12" s="113" customFormat="1" hidden="1">
      <c r="A249" s="1188"/>
      <c r="B249" s="1197"/>
      <c r="C249" s="1197"/>
      <c r="D249" s="1198"/>
      <c r="E249" s="1188"/>
      <c r="F249" s="111" t="s">
        <v>23</v>
      </c>
      <c r="G249" s="112">
        <f>G247+G248</f>
        <v>2600000</v>
      </c>
      <c r="H249" s="1185"/>
      <c r="I249" s="112">
        <f>I247+I248</f>
        <v>2600000</v>
      </c>
      <c r="J249" s="112">
        <f>J247+J248</f>
        <v>2600000</v>
      </c>
      <c r="K249" s="112">
        <f>K247+K248</f>
        <v>0</v>
      </c>
      <c r="L249" s="1188"/>
    </row>
    <row r="250" spans="1:12" s="87" customFormat="1" ht="13.15" hidden="1" customHeight="1">
      <c r="A250" s="1194">
        <v>10</v>
      </c>
      <c r="B250" s="1195"/>
      <c r="C250" s="1195" t="s">
        <v>343</v>
      </c>
      <c r="D250" s="1184" t="s">
        <v>344</v>
      </c>
      <c r="E250" s="1194">
        <v>2020</v>
      </c>
      <c r="F250" s="114" t="s">
        <v>21</v>
      </c>
      <c r="G250" s="117">
        <v>2600000</v>
      </c>
      <c r="H250" s="1193" t="s">
        <v>239</v>
      </c>
      <c r="I250" s="117">
        <f>J250+K250</f>
        <v>2600000</v>
      </c>
      <c r="J250" s="117">
        <v>2600000</v>
      </c>
      <c r="K250" s="117">
        <v>0</v>
      </c>
      <c r="L250" s="1184" t="s">
        <v>243</v>
      </c>
    </row>
    <row r="251" spans="1:12" s="87" customFormat="1" hidden="1">
      <c r="A251" s="1194"/>
      <c r="B251" s="1195"/>
      <c r="C251" s="1195"/>
      <c r="D251" s="1184"/>
      <c r="E251" s="1194"/>
      <c r="F251" s="114" t="s">
        <v>22</v>
      </c>
      <c r="G251" s="117"/>
      <c r="H251" s="1193"/>
      <c r="I251" s="117">
        <f>J251+K251</f>
        <v>0</v>
      </c>
      <c r="J251" s="117"/>
      <c r="K251" s="117"/>
      <c r="L251" s="1184"/>
    </row>
    <row r="252" spans="1:12" s="87" customFormat="1" hidden="1">
      <c r="A252" s="1194"/>
      <c r="B252" s="1195"/>
      <c r="C252" s="1195"/>
      <c r="D252" s="1184"/>
      <c r="E252" s="1194"/>
      <c r="F252" s="114" t="s">
        <v>23</v>
      </c>
      <c r="G252" s="117">
        <f>G250+G251</f>
        <v>2600000</v>
      </c>
      <c r="H252" s="1193"/>
      <c r="I252" s="117">
        <f>I250+I251</f>
        <v>2600000</v>
      </c>
      <c r="J252" s="117">
        <f>J250+J251</f>
        <v>2600000</v>
      </c>
      <c r="K252" s="117">
        <f>K250+K251</f>
        <v>0</v>
      </c>
      <c r="L252" s="1184"/>
    </row>
    <row r="253" spans="1:12" s="87" customFormat="1" ht="9.75" customHeight="1">
      <c r="A253" s="114"/>
      <c r="B253" s="115"/>
      <c r="C253" s="115"/>
      <c r="D253" s="116"/>
      <c r="E253" s="114"/>
      <c r="F253" s="114"/>
      <c r="G253" s="117"/>
      <c r="H253" s="118"/>
      <c r="I253" s="117"/>
      <c r="J253" s="117"/>
      <c r="K253" s="117"/>
      <c r="L253" s="119"/>
    </row>
    <row r="254" spans="1:12" s="113" customFormat="1" ht="15.6" customHeight="1">
      <c r="A254" s="1186" t="s">
        <v>345</v>
      </c>
      <c r="B254" s="1186"/>
      <c r="C254" s="1186"/>
      <c r="D254" s="1186"/>
      <c r="E254" s="1187" t="s">
        <v>239</v>
      </c>
      <c r="F254" s="104" t="s">
        <v>21</v>
      </c>
      <c r="G254" s="120">
        <f>G19+G25+G61+G67+G76+G82+G88+G136+G142+G148+G163+G235+G247</f>
        <v>51886453</v>
      </c>
      <c r="H254" s="1201" t="s">
        <v>239</v>
      </c>
      <c r="I254" s="120">
        <f t="shared" ref="I254:K255" si="12">I19+I25+I61+I67+I76+I82+I88+I136+I142+I148+I163+I235+I247</f>
        <v>51886453</v>
      </c>
      <c r="J254" s="120">
        <f t="shared" si="12"/>
        <v>43234804</v>
      </c>
      <c r="K254" s="120">
        <f t="shared" si="12"/>
        <v>8651649</v>
      </c>
      <c r="L254" s="1186" t="s">
        <v>239</v>
      </c>
    </row>
    <row r="255" spans="1:12" s="113" customFormat="1" ht="15.75">
      <c r="A255" s="1186"/>
      <c r="B255" s="1186"/>
      <c r="C255" s="1186"/>
      <c r="D255" s="1186"/>
      <c r="E255" s="1187"/>
      <c r="F255" s="104" t="s">
        <v>22</v>
      </c>
      <c r="G255" s="120">
        <f>G20+G26+G62+G68+G77+G83+G89+G137+G143+G149+G164+G236+G248</f>
        <v>4321075</v>
      </c>
      <c r="H255" s="1201"/>
      <c r="I255" s="120">
        <f t="shared" si="12"/>
        <v>4321075</v>
      </c>
      <c r="J255" s="120">
        <f t="shared" si="12"/>
        <v>2805115</v>
      </c>
      <c r="K255" s="120">
        <f t="shared" si="12"/>
        <v>1515960</v>
      </c>
      <c r="L255" s="1186"/>
    </row>
    <row r="256" spans="1:12" s="113" customFormat="1" ht="15.75">
      <c r="A256" s="1186"/>
      <c r="B256" s="1186"/>
      <c r="C256" s="1186"/>
      <c r="D256" s="1186"/>
      <c r="E256" s="1187"/>
      <c r="F256" s="104" t="s">
        <v>23</v>
      </c>
      <c r="G256" s="120">
        <f>G254+G255</f>
        <v>56207528</v>
      </c>
      <c r="H256" s="1201"/>
      <c r="I256" s="120">
        <f>I254+I255</f>
        <v>56207528</v>
      </c>
      <c r="J256" s="120">
        <f>J254+J255</f>
        <v>46039919</v>
      </c>
      <c r="K256" s="120">
        <f>K254+K255</f>
        <v>10167609</v>
      </c>
      <c r="L256" s="1186"/>
    </row>
    <row r="257" spans="1:12" s="87" customFormat="1" ht="9.75" customHeight="1">
      <c r="A257" s="1194"/>
      <c r="B257" s="1194"/>
      <c r="C257" s="1194"/>
      <c r="D257" s="1194"/>
      <c r="E257" s="1194"/>
      <c r="F257" s="1194"/>
      <c r="G257" s="1194"/>
      <c r="H257" s="1194"/>
      <c r="I257" s="1194"/>
      <c r="J257" s="1194"/>
      <c r="K257" s="1194"/>
      <c r="L257" s="1194"/>
    </row>
    <row r="258" spans="1:12" s="109" customFormat="1" ht="15.6" customHeight="1">
      <c r="A258" s="104" t="s">
        <v>346</v>
      </c>
      <c r="B258" s="1189" t="s">
        <v>347</v>
      </c>
      <c r="C258" s="1189"/>
      <c r="D258" s="1189"/>
      <c r="E258" s="1189"/>
      <c r="F258" s="1189"/>
      <c r="G258" s="1189"/>
      <c r="H258" s="1189"/>
      <c r="I258" s="1189"/>
      <c r="J258" s="1189"/>
      <c r="K258" s="1189"/>
      <c r="L258" s="1189"/>
    </row>
    <row r="259" spans="1:12" s="87" customFormat="1">
      <c r="A259" s="114"/>
      <c r="B259" s="115"/>
      <c r="C259" s="115"/>
      <c r="D259" s="116"/>
      <c r="E259" s="114"/>
      <c r="F259" s="114"/>
      <c r="G259" s="117"/>
      <c r="H259" s="118"/>
      <c r="I259" s="117"/>
      <c r="J259" s="117"/>
      <c r="K259" s="117"/>
      <c r="L259" s="119"/>
    </row>
    <row r="260" spans="1:12" s="113" customFormat="1">
      <c r="A260" s="1188"/>
      <c r="B260" s="1197" t="s">
        <v>56</v>
      </c>
      <c r="C260" s="1197"/>
      <c r="D260" s="1199" t="s">
        <v>57</v>
      </c>
      <c r="E260" s="1188" t="s">
        <v>239</v>
      </c>
      <c r="F260" s="111" t="s">
        <v>21</v>
      </c>
      <c r="G260" s="112">
        <f t="shared" ref="G260:K261" si="13">G263+G266+G269+G272+G278+G281+G299+G302+G305+G275+G284+G287+G290+G293+G296</f>
        <v>352811712</v>
      </c>
      <c r="H260" s="112">
        <f t="shared" si="13"/>
        <v>84393218</v>
      </c>
      <c r="I260" s="112">
        <f t="shared" si="13"/>
        <v>52985594</v>
      </c>
      <c r="J260" s="112">
        <f t="shared" si="13"/>
        <v>52476580</v>
      </c>
      <c r="K260" s="112">
        <f t="shared" si="13"/>
        <v>509014</v>
      </c>
      <c r="L260" s="1188" t="s">
        <v>239</v>
      </c>
    </row>
    <row r="261" spans="1:12" s="113" customFormat="1">
      <c r="A261" s="1188"/>
      <c r="B261" s="1197"/>
      <c r="C261" s="1197"/>
      <c r="D261" s="1199"/>
      <c r="E261" s="1188"/>
      <c r="F261" s="111" t="s">
        <v>22</v>
      </c>
      <c r="G261" s="112">
        <f t="shared" si="13"/>
        <v>-751095</v>
      </c>
      <c r="H261" s="112">
        <f t="shared" si="13"/>
        <v>0</v>
      </c>
      <c r="I261" s="112">
        <f t="shared" si="13"/>
        <v>-751095</v>
      </c>
      <c r="J261" s="112">
        <f t="shared" si="13"/>
        <v>-751095</v>
      </c>
      <c r="K261" s="112">
        <f t="shared" si="13"/>
        <v>0</v>
      </c>
      <c r="L261" s="1188"/>
    </row>
    <row r="262" spans="1:12" s="113" customFormat="1">
      <c r="A262" s="1188"/>
      <c r="B262" s="1197"/>
      <c r="C262" s="1197"/>
      <c r="D262" s="1199"/>
      <c r="E262" s="1188"/>
      <c r="F262" s="111" t="s">
        <v>23</v>
      </c>
      <c r="G262" s="112">
        <f>G260+G261</f>
        <v>352060617</v>
      </c>
      <c r="H262" s="112">
        <f>H260+H261</f>
        <v>84393218</v>
      </c>
      <c r="I262" s="112">
        <f>I260+I261</f>
        <v>52234499</v>
      </c>
      <c r="J262" s="112">
        <f>J260+J261</f>
        <v>51725485</v>
      </c>
      <c r="K262" s="112">
        <f>K260+K261</f>
        <v>509014</v>
      </c>
      <c r="L262" s="1188"/>
    </row>
    <row r="263" spans="1:12" s="87" customFormat="1" ht="19.149999999999999" hidden="1" customHeight="1">
      <c r="A263" s="1194">
        <v>1</v>
      </c>
      <c r="B263" s="1195"/>
      <c r="C263" s="1195" t="s">
        <v>60</v>
      </c>
      <c r="D263" s="1184" t="s">
        <v>348</v>
      </c>
      <c r="E263" s="1194" t="s">
        <v>349</v>
      </c>
      <c r="F263" s="114" t="s">
        <v>21</v>
      </c>
      <c r="G263" s="117">
        <v>448339</v>
      </c>
      <c r="H263" s="121">
        <f>30000+218339</f>
        <v>248339</v>
      </c>
      <c r="I263" s="117">
        <f>J263+K263</f>
        <v>200000</v>
      </c>
      <c r="J263" s="117">
        <v>200000</v>
      </c>
      <c r="K263" s="117">
        <v>0</v>
      </c>
      <c r="L263" s="1184" t="s">
        <v>243</v>
      </c>
    </row>
    <row r="264" spans="1:12" s="87" customFormat="1" ht="19.149999999999999" hidden="1" customHeight="1">
      <c r="A264" s="1194"/>
      <c r="B264" s="1195"/>
      <c r="C264" s="1195"/>
      <c r="D264" s="1184"/>
      <c r="E264" s="1194"/>
      <c r="F264" s="114" t="s">
        <v>22</v>
      </c>
      <c r="G264" s="117"/>
      <c r="H264" s="121"/>
      <c r="I264" s="117">
        <f>J264+K264</f>
        <v>0</v>
      </c>
      <c r="J264" s="117"/>
      <c r="K264" s="117"/>
      <c r="L264" s="1184"/>
    </row>
    <row r="265" spans="1:12" s="87" customFormat="1" ht="19.149999999999999" hidden="1" customHeight="1">
      <c r="A265" s="1194"/>
      <c r="B265" s="1195"/>
      <c r="C265" s="1195"/>
      <c r="D265" s="1184"/>
      <c r="E265" s="1194"/>
      <c r="F265" s="114" t="s">
        <v>23</v>
      </c>
      <c r="G265" s="117">
        <f>G263+G264</f>
        <v>448339</v>
      </c>
      <c r="H265" s="117">
        <f>H263+H264</f>
        <v>248339</v>
      </c>
      <c r="I265" s="117">
        <f>I263+I264</f>
        <v>200000</v>
      </c>
      <c r="J265" s="117">
        <f>J263+J264</f>
        <v>200000</v>
      </c>
      <c r="K265" s="117">
        <f>K263+K264</f>
        <v>0</v>
      </c>
      <c r="L265" s="1184"/>
    </row>
    <row r="266" spans="1:12" s="87" customFormat="1" ht="14.25" customHeight="1">
      <c r="A266" s="1194">
        <v>1</v>
      </c>
      <c r="B266" s="1195"/>
      <c r="C266" s="1195" t="s">
        <v>65</v>
      </c>
      <c r="D266" s="1184" t="s">
        <v>350</v>
      </c>
      <c r="E266" s="1194" t="s">
        <v>349</v>
      </c>
      <c r="F266" s="114" t="s">
        <v>21</v>
      </c>
      <c r="G266" s="117">
        <v>69330003</v>
      </c>
      <c r="H266" s="121">
        <v>59676437</v>
      </c>
      <c r="I266" s="117">
        <f>J266+K266</f>
        <v>9653566</v>
      </c>
      <c r="J266" s="117">
        <v>9653566</v>
      </c>
      <c r="K266" s="117">
        <v>0</v>
      </c>
      <c r="L266" s="1184" t="s">
        <v>351</v>
      </c>
    </row>
    <row r="267" spans="1:12" s="87" customFormat="1" ht="14.25" customHeight="1">
      <c r="A267" s="1194"/>
      <c r="B267" s="1195"/>
      <c r="C267" s="1195"/>
      <c r="D267" s="1184"/>
      <c r="E267" s="1194"/>
      <c r="F267" s="114" t="s">
        <v>22</v>
      </c>
      <c r="G267" s="117">
        <v>-751095</v>
      </c>
      <c r="H267" s="121"/>
      <c r="I267" s="117">
        <f>J267+K267</f>
        <v>-751095</v>
      </c>
      <c r="J267" s="117">
        <v>-751095</v>
      </c>
      <c r="K267" s="117"/>
      <c r="L267" s="1184"/>
    </row>
    <row r="268" spans="1:12" s="87" customFormat="1" ht="14.25" customHeight="1">
      <c r="A268" s="1194"/>
      <c r="B268" s="1195"/>
      <c r="C268" s="1195"/>
      <c r="D268" s="1184"/>
      <c r="E268" s="1194"/>
      <c r="F268" s="114" t="s">
        <v>23</v>
      </c>
      <c r="G268" s="117">
        <f>G266+G267</f>
        <v>68578908</v>
      </c>
      <c r="H268" s="117">
        <f>H266+H267</f>
        <v>59676437</v>
      </c>
      <c r="I268" s="117">
        <f>I266+I267</f>
        <v>8902471</v>
      </c>
      <c r="J268" s="117">
        <f>J266+J267</f>
        <v>8902471</v>
      </c>
      <c r="K268" s="117">
        <f>K266+K267</f>
        <v>0</v>
      </c>
      <c r="L268" s="1184"/>
    </row>
    <row r="269" spans="1:12" s="87" customFormat="1" ht="13.15" hidden="1" customHeight="1">
      <c r="A269" s="1194">
        <v>1</v>
      </c>
      <c r="B269" s="1195"/>
      <c r="C269" s="1195" t="s">
        <v>65</v>
      </c>
      <c r="D269" s="1184" t="s">
        <v>352</v>
      </c>
      <c r="E269" s="1194" t="s">
        <v>353</v>
      </c>
      <c r="F269" s="114" t="s">
        <v>21</v>
      </c>
      <c r="G269" s="117">
        <v>56970488</v>
      </c>
      <c r="H269" s="121">
        <v>11520411</v>
      </c>
      <c r="I269" s="117">
        <f>J269+K269</f>
        <v>35015124</v>
      </c>
      <c r="J269" s="117">
        <v>35015124</v>
      </c>
      <c r="K269" s="117"/>
      <c r="L269" s="1184" t="s">
        <v>351</v>
      </c>
    </row>
    <row r="270" spans="1:12" s="87" customFormat="1" hidden="1">
      <c r="A270" s="1194"/>
      <c r="B270" s="1195"/>
      <c r="C270" s="1195"/>
      <c r="D270" s="1184"/>
      <c r="E270" s="1194"/>
      <c r="F270" s="114" t="s">
        <v>22</v>
      </c>
      <c r="G270" s="117"/>
      <c r="H270" s="121"/>
      <c r="I270" s="117">
        <f>J270+K270</f>
        <v>0</v>
      </c>
      <c r="J270" s="117"/>
      <c r="K270" s="117"/>
      <c r="L270" s="1184"/>
    </row>
    <row r="271" spans="1:12" s="87" customFormat="1" hidden="1">
      <c r="A271" s="1194"/>
      <c r="B271" s="1195"/>
      <c r="C271" s="1195"/>
      <c r="D271" s="1184"/>
      <c r="E271" s="1194"/>
      <c r="F271" s="114" t="s">
        <v>23</v>
      </c>
      <c r="G271" s="117">
        <f>G269+G270</f>
        <v>56970488</v>
      </c>
      <c r="H271" s="117">
        <f>H269+H270</f>
        <v>11520411</v>
      </c>
      <c r="I271" s="117">
        <f>I269+I270</f>
        <v>35015124</v>
      </c>
      <c r="J271" s="117">
        <f>J269+J270</f>
        <v>35015124</v>
      </c>
      <c r="K271" s="117">
        <f>K269+K270</f>
        <v>0</v>
      </c>
      <c r="L271" s="1184"/>
    </row>
    <row r="272" spans="1:12" s="87" customFormat="1" ht="15" hidden="1" customHeight="1">
      <c r="A272" s="1194">
        <v>1</v>
      </c>
      <c r="B272" s="1195"/>
      <c r="C272" s="1195" t="s">
        <v>65</v>
      </c>
      <c r="D272" s="1184" t="s">
        <v>354</v>
      </c>
      <c r="E272" s="1194" t="s">
        <v>355</v>
      </c>
      <c r="F272" s="114" t="s">
        <v>21</v>
      </c>
      <c r="G272" s="117">
        <v>0</v>
      </c>
      <c r="H272" s="121">
        <v>0</v>
      </c>
      <c r="I272" s="117">
        <f>J272+K272</f>
        <v>0</v>
      </c>
      <c r="J272" s="117">
        <v>0</v>
      </c>
      <c r="K272" s="117">
        <v>0</v>
      </c>
      <c r="L272" s="1184" t="s">
        <v>351</v>
      </c>
    </row>
    <row r="273" spans="1:12" s="87" customFormat="1" ht="15" hidden="1" customHeight="1">
      <c r="A273" s="1194"/>
      <c r="B273" s="1195"/>
      <c r="C273" s="1195"/>
      <c r="D273" s="1184"/>
      <c r="E273" s="1194"/>
      <c r="F273" s="114" t="s">
        <v>22</v>
      </c>
      <c r="G273" s="117"/>
      <c r="H273" s="121"/>
      <c r="I273" s="117">
        <f>J273+K273</f>
        <v>0</v>
      </c>
      <c r="J273" s="117"/>
      <c r="K273" s="117"/>
      <c r="L273" s="1184"/>
    </row>
    <row r="274" spans="1:12" s="87" customFormat="1" ht="15" hidden="1" customHeight="1">
      <c r="A274" s="1194"/>
      <c r="B274" s="1195"/>
      <c r="C274" s="1195"/>
      <c r="D274" s="1184"/>
      <c r="E274" s="1194"/>
      <c r="F274" s="114" t="s">
        <v>23</v>
      </c>
      <c r="G274" s="117">
        <f>G272+G273</f>
        <v>0</v>
      </c>
      <c r="H274" s="117">
        <f>H272+H273</f>
        <v>0</v>
      </c>
      <c r="I274" s="117">
        <f>I272+I273</f>
        <v>0</v>
      </c>
      <c r="J274" s="117">
        <f>J272+J273</f>
        <v>0</v>
      </c>
      <c r="K274" s="117">
        <f>K272+K273</f>
        <v>0</v>
      </c>
      <c r="L274" s="1184"/>
    </row>
    <row r="275" spans="1:12" s="87" customFormat="1" ht="13.15" hidden="1" customHeight="1">
      <c r="A275" s="1194">
        <v>2</v>
      </c>
      <c r="B275" s="1195"/>
      <c r="C275" s="1195" t="s">
        <v>65</v>
      </c>
      <c r="D275" s="1184" t="s">
        <v>356</v>
      </c>
      <c r="E275" s="1194" t="s">
        <v>357</v>
      </c>
      <c r="F275" s="114" t="s">
        <v>21</v>
      </c>
      <c r="G275" s="117">
        <v>196200000</v>
      </c>
      <c r="H275" s="121">
        <v>0</v>
      </c>
      <c r="I275" s="117">
        <f>J275+K275</f>
        <v>142214</v>
      </c>
      <c r="J275" s="117">
        <v>0</v>
      </c>
      <c r="K275" s="117">
        <v>142214</v>
      </c>
      <c r="L275" s="1184" t="s">
        <v>351</v>
      </c>
    </row>
    <row r="276" spans="1:12" s="87" customFormat="1" hidden="1">
      <c r="A276" s="1194"/>
      <c r="B276" s="1195"/>
      <c r="C276" s="1195"/>
      <c r="D276" s="1184"/>
      <c r="E276" s="1194"/>
      <c r="F276" s="114" t="s">
        <v>22</v>
      </c>
      <c r="G276" s="117"/>
      <c r="H276" s="121"/>
      <c r="I276" s="117">
        <f>J276+K276</f>
        <v>0</v>
      </c>
      <c r="J276" s="117"/>
      <c r="K276" s="117"/>
      <c r="L276" s="1184"/>
    </row>
    <row r="277" spans="1:12" s="87" customFormat="1" hidden="1">
      <c r="A277" s="1194"/>
      <c r="B277" s="1195"/>
      <c r="C277" s="1195"/>
      <c r="D277" s="1184"/>
      <c r="E277" s="1194"/>
      <c r="F277" s="114" t="s">
        <v>23</v>
      </c>
      <c r="G277" s="117">
        <f>G275+G276</f>
        <v>196200000</v>
      </c>
      <c r="H277" s="117">
        <f>H275+H276</f>
        <v>0</v>
      </c>
      <c r="I277" s="117">
        <f>I275+I276</f>
        <v>142214</v>
      </c>
      <c r="J277" s="117">
        <f>J275+J276</f>
        <v>0</v>
      </c>
      <c r="K277" s="117">
        <f>K275+K276</f>
        <v>142214</v>
      </c>
      <c r="L277" s="1184"/>
    </row>
    <row r="278" spans="1:12" s="87" customFormat="1" ht="13.15" hidden="1" customHeight="1">
      <c r="A278" s="1194">
        <v>3</v>
      </c>
      <c r="B278" s="1195"/>
      <c r="C278" s="1195" t="s">
        <v>65</v>
      </c>
      <c r="D278" s="1184" t="s">
        <v>358</v>
      </c>
      <c r="E278" s="1194" t="s">
        <v>359</v>
      </c>
      <c r="F278" s="114" t="s">
        <v>21</v>
      </c>
      <c r="G278" s="117">
        <v>171586</v>
      </c>
      <c r="H278" s="121">
        <v>0</v>
      </c>
      <c r="I278" s="117">
        <f>J278+K278</f>
        <v>17159</v>
      </c>
      <c r="J278" s="117">
        <v>17159</v>
      </c>
      <c r="K278" s="117">
        <v>0</v>
      </c>
      <c r="L278" s="1184" t="s">
        <v>351</v>
      </c>
    </row>
    <row r="279" spans="1:12" s="87" customFormat="1" hidden="1">
      <c r="A279" s="1194"/>
      <c r="B279" s="1195"/>
      <c r="C279" s="1195"/>
      <c r="D279" s="1184"/>
      <c r="E279" s="1194"/>
      <c r="F279" s="114" t="s">
        <v>22</v>
      </c>
      <c r="G279" s="117"/>
      <c r="H279" s="121"/>
      <c r="I279" s="117">
        <f>J279+K279</f>
        <v>0</v>
      </c>
      <c r="J279" s="117"/>
      <c r="K279" s="117"/>
      <c r="L279" s="1184"/>
    </row>
    <row r="280" spans="1:12" s="87" customFormat="1" hidden="1">
      <c r="A280" s="1194"/>
      <c r="B280" s="1195"/>
      <c r="C280" s="1195"/>
      <c r="D280" s="1184"/>
      <c r="E280" s="1194"/>
      <c r="F280" s="114" t="s">
        <v>23</v>
      </c>
      <c r="G280" s="117">
        <f>G278+G279</f>
        <v>171586</v>
      </c>
      <c r="H280" s="117">
        <f>H278+H279</f>
        <v>0</v>
      </c>
      <c r="I280" s="117">
        <f>I278+I279</f>
        <v>17159</v>
      </c>
      <c r="J280" s="117">
        <f>J278+J279</f>
        <v>17159</v>
      </c>
      <c r="K280" s="117">
        <f>K278+K279</f>
        <v>0</v>
      </c>
      <c r="L280" s="1184"/>
    </row>
    <row r="281" spans="1:12" s="87" customFormat="1" ht="22.9" hidden="1" customHeight="1">
      <c r="A281" s="1194">
        <v>4</v>
      </c>
      <c r="B281" s="1195"/>
      <c r="C281" s="1195" t="s">
        <v>65</v>
      </c>
      <c r="D281" s="1184" t="s">
        <v>360</v>
      </c>
      <c r="E281" s="1194" t="s">
        <v>359</v>
      </c>
      <c r="F281" s="114" t="s">
        <v>21</v>
      </c>
      <c r="G281" s="117">
        <v>169000</v>
      </c>
      <c r="H281" s="121">
        <v>0</v>
      </c>
      <c r="I281" s="117">
        <f>J281+K281</f>
        <v>89790</v>
      </c>
      <c r="J281" s="117">
        <v>0</v>
      </c>
      <c r="K281" s="117">
        <v>89790</v>
      </c>
      <c r="L281" s="1184" t="s">
        <v>351</v>
      </c>
    </row>
    <row r="282" spans="1:12" s="87" customFormat="1" ht="22.9" hidden="1" customHeight="1">
      <c r="A282" s="1194"/>
      <c r="B282" s="1195"/>
      <c r="C282" s="1195"/>
      <c r="D282" s="1184"/>
      <c r="E282" s="1194"/>
      <c r="F282" s="114" t="s">
        <v>22</v>
      </c>
      <c r="G282" s="117"/>
      <c r="H282" s="121"/>
      <c r="I282" s="117">
        <f>J282+K282</f>
        <v>0</v>
      </c>
      <c r="J282" s="117"/>
      <c r="K282" s="117"/>
      <c r="L282" s="1184"/>
    </row>
    <row r="283" spans="1:12" s="87" customFormat="1" ht="22.9" hidden="1" customHeight="1">
      <c r="A283" s="1194"/>
      <c r="B283" s="1195"/>
      <c r="C283" s="1195"/>
      <c r="D283" s="1184"/>
      <c r="E283" s="1194"/>
      <c r="F283" s="114" t="s">
        <v>23</v>
      </c>
      <c r="G283" s="117">
        <f>G281+G282</f>
        <v>169000</v>
      </c>
      <c r="H283" s="117">
        <f>H281+H282</f>
        <v>0</v>
      </c>
      <c r="I283" s="117">
        <f>I281+I282</f>
        <v>89790</v>
      </c>
      <c r="J283" s="117">
        <f>J281+J282</f>
        <v>0</v>
      </c>
      <c r="K283" s="117">
        <f>K281+K282</f>
        <v>89790</v>
      </c>
      <c r="L283" s="1184"/>
    </row>
    <row r="284" spans="1:12" s="87" customFormat="1" ht="19.899999999999999" hidden="1" customHeight="1">
      <c r="A284" s="1194">
        <v>5</v>
      </c>
      <c r="B284" s="1195"/>
      <c r="C284" s="1195" t="s">
        <v>65</v>
      </c>
      <c r="D284" s="1184" t="s">
        <v>361</v>
      </c>
      <c r="E284" s="1194" t="s">
        <v>353</v>
      </c>
      <c r="F284" s="114" t="s">
        <v>21</v>
      </c>
      <c r="G284" s="117">
        <v>461250</v>
      </c>
      <c r="H284" s="121">
        <v>83025</v>
      </c>
      <c r="I284" s="117">
        <f>J284+K284</f>
        <v>177010</v>
      </c>
      <c r="J284" s="117">
        <v>0</v>
      </c>
      <c r="K284" s="117">
        <v>177010</v>
      </c>
      <c r="L284" s="1184" t="s">
        <v>351</v>
      </c>
    </row>
    <row r="285" spans="1:12" s="87" customFormat="1" ht="19.899999999999999" hidden="1" customHeight="1">
      <c r="A285" s="1194"/>
      <c r="B285" s="1195"/>
      <c r="C285" s="1195"/>
      <c r="D285" s="1184"/>
      <c r="E285" s="1194"/>
      <c r="F285" s="114" t="s">
        <v>22</v>
      </c>
      <c r="G285" s="117"/>
      <c r="H285" s="121"/>
      <c r="I285" s="117">
        <f>J285+K285</f>
        <v>0</v>
      </c>
      <c r="J285" s="117"/>
      <c r="K285" s="117"/>
      <c r="L285" s="1184"/>
    </row>
    <row r="286" spans="1:12" s="87" customFormat="1" ht="19.899999999999999" hidden="1" customHeight="1">
      <c r="A286" s="1194"/>
      <c r="B286" s="1195"/>
      <c r="C286" s="1195"/>
      <c r="D286" s="1184"/>
      <c r="E286" s="1194"/>
      <c r="F286" s="114" t="s">
        <v>23</v>
      </c>
      <c r="G286" s="117">
        <f>G284+G285</f>
        <v>461250</v>
      </c>
      <c r="H286" s="117">
        <f>H284+H285</f>
        <v>83025</v>
      </c>
      <c r="I286" s="117">
        <f>I284+I285</f>
        <v>177010</v>
      </c>
      <c r="J286" s="117">
        <f>J284+J285</f>
        <v>0</v>
      </c>
      <c r="K286" s="117">
        <f>K284+K285</f>
        <v>177010</v>
      </c>
      <c r="L286" s="1184"/>
    </row>
    <row r="287" spans="1:12" s="87" customFormat="1" ht="15" hidden="1" customHeight="1">
      <c r="A287" s="1194">
        <v>4</v>
      </c>
      <c r="B287" s="1195"/>
      <c r="C287" s="1195" t="s">
        <v>65</v>
      </c>
      <c r="D287" s="1184" t="s">
        <v>362</v>
      </c>
      <c r="E287" s="1194" t="s">
        <v>363</v>
      </c>
      <c r="F287" s="114" t="s">
        <v>21</v>
      </c>
      <c r="G287" s="117">
        <v>4241563</v>
      </c>
      <c r="H287" s="121">
        <v>3847963</v>
      </c>
      <c r="I287" s="117">
        <f>J287+K287</f>
        <v>393600</v>
      </c>
      <c r="J287" s="117">
        <v>393600</v>
      </c>
      <c r="K287" s="117">
        <v>0</v>
      </c>
      <c r="L287" s="1184" t="s">
        <v>351</v>
      </c>
    </row>
    <row r="288" spans="1:12" s="87" customFormat="1" ht="15" hidden="1" customHeight="1">
      <c r="A288" s="1194"/>
      <c r="B288" s="1195"/>
      <c r="C288" s="1195"/>
      <c r="D288" s="1184"/>
      <c r="E288" s="1194"/>
      <c r="F288" s="114" t="s">
        <v>22</v>
      </c>
      <c r="G288" s="117"/>
      <c r="H288" s="121"/>
      <c r="I288" s="117">
        <f>J288+K288</f>
        <v>0</v>
      </c>
      <c r="J288" s="117"/>
      <c r="K288" s="117"/>
      <c r="L288" s="1184"/>
    </row>
    <row r="289" spans="1:12" s="87" customFormat="1" ht="15" hidden="1" customHeight="1">
      <c r="A289" s="1194"/>
      <c r="B289" s="1195"/>
      <c r="C289" s="1195"/>
      <c r="D289" s="1184"/>
      <c r="E289" s="1194"/>
      <c r="F289" s="114" t="s">
        <v>23</v>
      </c>
      <c r="G289" s="117">
        <f>G287+G288</f>
        <v>4241563</v>
      </c>
      <c r="H289" s="117">
        <f>H287+H288</f>
        <v>3847963</v>
      </c>
      <c r="I289" s="117">
        <f>I287+I288</f>
        <v>393600</v>
      </c>
      <c r="J289" s="117">
        <f>J287+J288</f>
        <v>393600</v>
      </c>
      <c r="K289" s="117">
        <f>K287+K288</f>
        <v>0</v>
      </c>
      <c r="L289" s="1184"/>
    </row>
    <row r="290" spans="1:12" s="87" customFormat="1" ht="22.15" hidden="1" customHeight="1">
      <c r="A290" s="1194">
        <v>6</v>
      </c>
      <c r="B290" s="1195"/>
      <c r="C290" s="1195" t="s">
        <v>65</v>
      </c>
      <c r="D290" s="1184" t="s">
        <v>364</v>
      </c>
      <c r="E290" s="1194" t="s">
        <v>353</v>
      </c>
      <c r="F290" s="114" t="s">
        <v>21</v>
      </c>
      <c r="G290" s="117">
        <v>306639</v>
      </c>
      <c r="H290" s="121">
        <v>0</v>
      </c>
      <c r="I290" s="117">
        <f>J290+K290</f>
        <v>201330</v>
      </c>
      <c r="J290" s="117">
        <v>101330</v>
      </c>
      <c r="K290" s="117">
        <v>100000</v>
      </c>
      <c r="L290" s="1184" t="s">
        <v>351</v>
      </c>
    </row>
    <row r="291" spans="1:12" s="87" customFormat="1" ht="22.15" hidden="1" customHeight="1">
      <c r="A291" s="1194"/>
      <c r="B291" s="1195"/>
      <c r="C291" s="1195"/>
      <c r="D291" s="1184"/>
      <c r="E291" s="1194"/>
      <c r="F291" s="114" t="s">
        <v>22</v>
      </c>
      <c r="G291" s="117"/>
      <c r="H291" s="121"/>
      <c r="I291" s="117">
        <f>J291+K291</f>
        <v>0</v>
      </c>
      <c r="J291" s="117"/>
      <c r="K291" s="117"/>
      <c r="L291" s="1184"/>
    </row>
    <row r="292" spans="1:12" s="87" customFormat="1" ht="24" hidden="1" customHeight="1">
      <c r="A292" s="1194"/>
      <c r="B292" s="1195"/>
      <c r="C292" s="1195"/>
      <c r="D292" s="1184"/>
      <c r="E292" s="1194"/>
      <c r="F292" s="114" t="s">
        <v>23</v>
      </c>
      <c r="G292" s="117">
        <f>G290+G291</f>
        <v>306639</v>
      </c>
      <c r="H292" s="117">
        <f>H290+H291</f>
        <v>0</v>
      </c>
      <c r="I292" s="117">
        <f>I290+I291</f>
        <v>201330</v>
      </c>
      <c r="J292" s="117">
        <f>J290+J291</f>
        <v>101330</v>
      </c>
      <c r="K292" s="117">
        <f>K290+K291</f>
        <v>100000</v>
      </c>
      <c r="L292" s="1184"/>
    </row>
    <row r="293" spans="1:12" s="87" customFormat="1" ht="15.6" hidden="1" customHeight="1">
      <c r="A293" s="1194">
        <v>6</v>
      </c>
      <c r="B293" s="1195"/>
      <c r="C293" s="1195" t="s">
        <v>65</v>
      </c>
      <c r="D293" s="1184" t="s">
        <v>365</v>
      </c>
      <c r="E293" s="1194" t="s">
        <v>366</v>
      </c>
      <c r="F293" s="114" t="s">
        <v>21</v>
      </c>
      <c r="G293" s="117">
        <v>129765</v>
      </c>
      <c r="H293" s="121">
        <v>83577</v>
      </c>
      <c r="I293" s="117">
        <f>J293+K293</f>
        <v>46188</v>
      </c>
      <c r="J293" s="117">
        <v>46188</v>
      </c>
      <c r="K293" s="117">
        <v>0</v>
      </c>
      <c r="L293" s="1184" t="s">
        <v>351</v>
      </c>
    </row>
    <row r="294" spans="1:12" s="87" customFormat="1" ht="15.6" hidden="1" customHeight="1">
      <c r="A294" s="1194"/>
      <c r="B294" s="1195"/>
      <c r="C294" s="1195"/>
      <c r="D294" s="1184"/>
      <c r="E294" s="1194"/>
      <c r="F294" s="114" t="s">
        <v>22</v>
      </c>
      <c r="G294" s="117"/>
      <c r="H294" s="121"/>
      <c r="I294" s="117">
        <f>J294+K294</f>
        <v>0</v>
      </c>
      <c r="J294" s="117"/>
      <c r="K294" s="117"/>
      <c r="L294" s="1184"/>
    </row>
    <row r="295" spans="1:12" s="87" customFormat="1" ht="15.6" hidden="1" customHeight="1">
      <c r="A295" s="1194"/>
      <c r="B295" s="1195"/>
      <c r="C295" s="1195"/>
      <c r="D295" s="1184"/>
      <c r="E295" s="1194"/>
      <c r="F295" s="114" t="s">
        <v>23</v>
      </c>
      <c r="G295" s="117">
        <f>G293+G294</f>
        <v>129765</v>
      </c>
      <c r="H295" s="117">
        <f>H293+H294</f>
        <v>83577</v>
      </c>
      <c r="I295" s="117">
        <f>I293+I294</f>
        <v>46188</v>
      </c>
      <c r="J295" s="117">
        <f>J293+J294</f>
        <v>46188</v>
      </c>
      <c r="K295" s="117">
        <f>K293+K294</f>
        <v>0</v>
      </c>
      <c r="L295" s="1184"/>
    </row>
    <row r="296" spans="1:12" s="87" customFormat="1" ht="25.15" hidden="1" customHeight="1">
      <c r="A296" s="1194">
        <v>7</v>
      </c>
      <c r="B296" s="1195"/>
      <c r="C296" s="1195" t="s">
        <v>65</v>
      </c>
      <c r="D296" s="1184" t="s">
        <v>367</v>
      </c>
      <c r="E296" s="1194" t="s">
        <v>363</v>
      </c>
      <c r="F296" s="114" t="s">
        <v>21</v>
      </c>
      <c r="G296" s="117">
        <v>3081263</v>
      </c>
      <c r="H296" s="121">
        <v>2441663</v>
      </c>
      <c r="I296" s="117">
        <f>J296+K296</f>
        <v>639600</v>
      </c>
      <c r="J296" s="117">
        <v>639600</v>
      </c>
      <c r="K296" s="117">
        <v>0</v>
      </c>
      <c r="L296" s="1184" t="s">
        <v>351</v>
      </c>
    </row>
    <row r="297" spans="1:12" s="87" customFormat="1" ht="25.15" hidden="1" customHeight="1">
      <c r="A297" s="1194"/>
      <c r="B297" s="1195"/>
      <c r="C297" s="1195"/>
      <c r="D297" s="1184"/>
      <c r="E297" s="1194"/>
      <c r="F297" s="114" t="s">
        <v>22</v>
      </c>
      <c r="G297" s="117"/>
      <c r="H297" s="121"/>
      <c r="I297" s="117">
        <f>J297+K297</f>
        <v>0</v>
      </c>
      <c r="J297" s="117"/>
      <c r="K297" s="117"/>
      <c r="L297" s="1184"/>
    </row>
    <row r="298" spans="1:12" s="87" customFormat="1" ht="25.15" hidden="1" customHeight="1">
      <c r="A298" s="1194"/>
      <c r="B298" s="1195"/>
      <c r="C298" s="1195"/>
      <c r="D298" s="1184"/>
      <c r="E298" s="1194"/>
      <c r="F298" s="114" t="s">
        <v>23</v>
      </c>
      <c r="G298" s="117">
        <f>G296+G297</f>
        <v>3081263</v>
      </c>
      <c r="H298" s="117">
        <f>H296+H297</f>
        <v>2441663</v>
      </c>
      <c r="I298" s="117">
        <f>I296+I297</f>
        <v>639600</v>
      </c>
      <c r="J298" s="117">
        <f>J296+J297</f>
        <v>639600</v>
      </c>
      <c r="K298" s="117">
        <f>K296+K297</f>
        <v>0</v>
      </c>
      <c r="L298" s="1184"/>
    </row>
    <row r="299" spans="1:12" s="87" customFormat="1" ht="28.9" hidden="1" customHeight="1">
      <c r="A299" s="1194">
        <v>8</v>
      </c>
      <c r="B299" s="1195"/>
      <c r="C299" s="1195" t="s">
        <v>67</v>
      </c>
      <c r="D299" s="1184" t="s">
        <v>368</v>
      </c>
      <c r="E299" s="1194" t="s">
        <v>369</v>
      </c>
      <c r="F299" s="114" t="s">
        <v>21</v>
      </c>
      <c r="G299" s="117">
        <v>19691803</v>
      </c>
      <c r="H299" s="121">
        <v>6491803</v>
      </c>
      <c r="I299" s="117">
        <f>J299+K299</f>
        <v>4800000</v>
      </c>
      <c r="J299" s="117">
        <v>4800000</v>
      </c>
      <c r="K299" s="117">
        <v>0</v>
      </c>
      <c r="L299" s="1184" t="s">
        <v>243</v>
      </c>
    </row>
    <row r="300" spans="1:12" s="87" customFormat="1" ht="28.9" hidden="1" customHeight="1">
      <c r="A300" s="1194"/>
      <c r="B300" s="1195"/>
      <c r="C300" s="1195"/>
      <c r="D300" s="1184"/>
      <c r="E300" s="1194"/>
      <c r="F300" s="114" t="s">
        <v>22</v>
      </c>
      <c r="G300" s="117"/>
      <c r="H300" s="121"/>
      <c r="I300" s="117">
        <f>J300+K300</f>
        <v>0</v>
      </c>
      <c r="J300" s="117"/>
      <c r="K300" s="117"/>
      <c r="L300" s="1184"/>
    </row>
    <row r="301" spans="1:12" s="87" customFormat="1" ht="28.9" hidden="1" customHeight="1">
      <c r="A301" s="1194"/>
      <c r="B301" s="1195"/>
      <c r="C301" s="1195"/>
      <c r="D301" s="1184"/>
      <c r="E301" s="1194"/>
      <c r="F301" s="114" t="s">
        <v>23</v>
      </c>
      <c r="G301" s="117">
        <f>G299+G300</f>
        <v>19691803</v>
      </c>
      <c r="H301" s="117">
        <f>H299+H300</f>
        <v>6491803</v>
      </c>
      <c r="I301" s="117">
        <f>I299+I300</f>
        <v>4800000</v>
      </c>
      <c r="J301" s="117">
        <f>J299+J300</f>
        <v>4800000</v>
      </c>
      <c r="K301" s="117">
        <f>K299+K300</f>
        <v>0</v>
      </c>
      <c r="L301" s="1184"/>
    </row>
    <row r="302" spans="1:12" s="87" customFormat="1" ht="18.600000000000001" hidden="1" customHeight="1">
      <c r="A302" s="1194">
        <v>4</v>
      </c>
      <c r="B302" s="1195"/>
      <c r="C302" s="1195" t="s">
        <v>67</v>
      </c>
      <c r="D302" s="1184" t="s">
        <v>370</v>
      </c>
      <c r="E302" s="1194" t="s">
        <v>355</v>
      </c>
      <c r="F302" s="114" t="s">
        <v>21</v>
      </c>
      <c r="G302" s="117">
        <v>1460013</v>
      </c>
      <c r="H302" s="121">
        <v>0</v>
      </c>
      <c r="I302" s="117">
        <f>J302+K302</f>
        <v>1460013</v>
      </c>
      <c r="J302" s="117">
        <v>1460013</v>
      </c>
      <c r="K302" s="117">
        <v>0</v>
      </c>
      <c r="L302" s="1184" t="s">
        <v>243</v>
      </c>
    </row>
    <row r="303" spans="1:12" s="87" customFormat="1" ht="18.600000000000001" hidden="1" customHeight="1">
      <c r="A303" s="1194"/>
      <c r="B303" s="1195"/>
      <c r="C303" s="1195"/>
      <c r="D303" s="1184"/>
      <c r="E303" s="1194"/>
      <c r="F303" s="114" t="s">
        <v>22</v>
      </c>
      <c r="G303" s="117"/>
      <c r="H303" s="121"/>
      <c r="I303" s="117">
        <f>J303+K303</f>
        <v>0</v>
      </c>
      <c r="J303" s="117"/>
      <c r="K303" s="117"/>
      <c r="L303" s="1184"/>
    </row>
    <row r="304" spans="1:12" s="87" customFormat="1" ht="18.600000000000001" hidden="1" customHeight="1">
      <c r="A304" s="1194"/>
      <c r="B304" s="1195"/>
      <c r="C304" s="1195"/>
      <c r="D304" s="1184"/>
      <c r="E304" s="1194"/>
      <c r="F304" s="114" t="s">
        <v>23</v>
      </c>
      <c r="G304" s="117">
        <f>G302+G303</f>
        <v>1460013</v>
      </c>
      <c r="H304" s="117">
        <f>H302+H303</f>
        <v>0</v>
      </c>
      <c r="I304" s="117">
        <f>I302+I303</f>
        <v>1460013</v>
      </c>
      <c r="J304" s="117">
        <f>J302+J303</f>
        <v>1460013</v>
      </c>
      <c r="K304" s="117">
        <f>K302+K303</f>
        <v>0</v>
      </c>
      <c r="L304" s="1184"/>
    </row>
    <row r="305" spans="1:12" s="87" customFormat="1" ht="24" hidden="1" customHeight="1">
      <c r="A305" s="1194">
        <v>9</v>
      </c>
      <c r="B305" s="1195"/>
      <c r="C305" s="1195" t="s">
        <v>69</v>
      </c>
      <c r="D305" s="1184" t="s">
        <v>371</v>
      </c>
      <c r="E305" s="1194" t="s">
        <v>372</v>
      </c>
      <c r="F305" s="114" t="s">
        <v>21</v>
      </c>
      <c r="G305" s="117">
        <v>150000</v>
      </c>
      <c r="H305" s="121">
        <v>0</v>
      </c>
      <c r="I305" s="117">
        <f>J305+K305</f>
        <v>150000</v>
      </c>
      <c r="J305" s="117">
        <v>150000</v>
      </c>
      <c r="K305" s="117">
        <v>0</v>
      </c>
      <c r="L305" s="1184" t="s">
        <v>243</v>
      </c>
    </row>
    <row r="306" spans="1:12" s="87" customFormat="1" ht="24" hidden="1" customHeight="1">
      <c r="A306" s="1194"/>
      <c r="B306" s="1195"/>
      <c r="C306" s="1195"/>
      <c r="D306" s="1184"/>
      <c r="E306" s="1194"/>
      <c r="F306" s="114" t="s">
        <v>22</v>
      </c>
      <c r="G306" s="117"/>
      <c r="H306" s="121"/>
      <c r="I306" s="117">
        <f>J306+K306</f>
        <v>0</v>
      </c>
      <c r="J306" s="117"/>
      <c r="K306" s="117"/>
      <c r="L306" s="1184"/>
    </row>
    <row r="307" spans="1:12" s="87" customFormat="1" ht="24" hidden="1" customHeight="1">
      <c r="A307" s="1194"/>
      <c r="B307" s="1195"/>
      <c r="C307" s="1195"/>
      <c r="D307" s="1184"/>
      <c r="E307" s="1194"/>
      <c r="F307" s="114" t="s">
        <v>23</v>
      </c>
      <c r="G307" s="117">
        <f>G305+G306</f>
        <v>150000</v>
      </c>
      <c r="H307" s="117">
        <f>H305+H306</f>
        <v>0</v>
      </c>
      <c r="I307" s="117">
        <f>I305+I306</f>
        <v>150000</v>
      </c>
      <c r="J307" s="117">
        <f>J305+J306</f>
        <v>150000</v>
      </c>
      <c r="K307" s="117">
        <f>K305+K306</f>
        <v>0</v>
      </c>
      <c r="L307" s="1184"/>
    </row>
    <row r="308" spans="1:12" s="113" customFormat="1" hidden="1">
      <c r="A308" s="1188"/>
      <c r="B308" s="1197" t="s">
        <v>78</v>
      </c>
      <c r="C308" s="1197"/>
      <c r="D308" s="1199" t="s">
        <v>79</v>
      </c>
      <c r="E308" s="1188" t="s">
        <v>239</v>
      </c>
      <c r="F308" s="111" t="s">
        <v>21</v>
      </c>
      <c r="G308" s="112">
        <f t="shared" ref="G308:K309" si="14">G311+G314+G317</f>
        <v>4400877</v>
      </c>
      <c r="H308" s="112">
        <f t="shared" si="14"/>
        <v>3168217</v>
      </c>
      <c r="I308" s="112">
        <f t="shared" si="14"/>
        <v>987400</v>
      </c>
      <c r="J308" s="112">
        <f t="shared" si="14"/>
        <v>987400</v>
      </c>
      <c r="K308" s="112">
        <f t="shared" si="14"/>
        <v>0</v>
      </c>
      <c r="L308" s="1188" t="s">
        <v>239</v>
      </c>
    </row>
    <row r="309" spans="1:12" s="113" customFormat="1" hidden="1">
      <c r="A309" s="1188"/>
      <c r="B309" s="1197"/>
      <c r="C309" s="1197"/>
      <c r="D309" s="1199"/>
      <c r="E309" s="1188"/>
      <c r="F309" s="111" t="s">
        <v>22</v>
      </c>
      <c r="G309" s="112">
        <f t="shared" si="14"/>
        <v>0</v>
      </c>
      <c r="H309" s="112">
        <f t="shared" si="14"/>
        <v>0</v>
      </c>
      <c r="I309" s="112">
        <f t="shared" si="14"/>
        <v>0</v>
      </c>
      <c r="J309" s="112">
        <f t="shared" si="14"/>
        <v>0</v>
      </c>
      <c r="K309" s="112">
        <f t="shared" si="14"/>
        <v>0</v>
      </c>
      <c r="L309" s="1188"/>
    </row>
    <row r="310" spans="1:12" s="113" customFormat="1" hidden="1">
      <c r="A310" s="1188"/>
      <c r="B310" s="1197"/>
      <c r="C310" s="1197"/>
      <c r="D310" s="1199"/>
      <c r="E310" s="1188"/>
      <c r="F310" s="111" t="s">
        <v>23</v>
      </c>
      <c r="G310" s="112">
        <f>G308+G309</f>
        <v>4400877</v>
      </c>
      <c r="H310" s="112">
        <f>H308+H309</f>
        <v>3168217</v>
      </c>
      <c r="I310" s="112">
        <f>I308+I309</f>
        <v>987400</v>
      </c>
      <c r="J310" s="112">
        <f>J308+J309</f>
        <v>987400</v>
      </c>
      <c r="K310" s="112">
        <f>K308+K309</f>
        <v>0</v>
      </c>
      <c r="L310" s="1188"/>
    </row>
    <row r="311" spans="1:12" s="87" customFormat="1" ht="13.15" hidden="1" customHeight="1">
      <c r="A311" s="1194">
        <v>10</v>
      </c>
      <c r="B311" s="1195"/>
      <c r="C311" s="1195" t="s">
        <v>80</v>
      </c>
      <c r="D311" s="1184" t="s">
        <v>373</v>
      </c>
      <c r="E311" s="1194" t="s">
        <v>374</v>
      </c>
      <c r="F311" s="114" t="s">
        <v>21</v>
      </c>
      <c r="G311" s="117">
        <v>339600</v>
      </c>
      <c r="H311" s="121">
        <f>3780+22640+22640+22640</f>
        <v>71700</v>
      </c>
      <c r="I311" s="117">
        <f>J311+K311</f>
        <v>22640</v>
      </c>
      <c r="J311" s="117">
        <v>22640</v>
      </c>
      <c r="K311" s="117">
        <v>0</v>
      </c>
      <c r="L311" s="1184" t="s">
        <v>243</v>
      </c>
    </row>
    <row r="312" spans="1:12" s="87" customFormat="1" hidden="1">
      <c r="A312" s="1194"/>
      <c r="B312" s="1195"/>
      <c r="C312" s="1195"/>
      <c r="D312" s="1184"/>
      <c r="E312" s="1194"/>
      <c r="F312" s="114" t="s">
        <v>22</v>
      </c>
      <c r="G312" s="117"/>
      <c r="H312" s="121"/>
      <c r="I312" s="117">
        <f>J312+K312</f>
        <v>0</v>
      </c>
      <c r="J312" s="117"/>
      <c r="K312" s="117"/>
      <c r="L312" s="1184"/>
    </row>
    <row r="313" spans="1:12" s="87" customFormat="1" hidden="1">
      <c r="A313" s="1194"/>
      <c r="B313" s="1195"/>
      <c r="C313" s="1195"/>
      <c r="D313" s="1184"/>
      <c r="E313" s="1194"/>
      <c r="F313" s="114" t="s">
        <v>23</v>
      </c>
      <c r="G313" s="117">
        <f>G311+G312</f>
        <v>339600</v>
      </c>
      <c r="H313" s="117">
        <f>H311+H312</f>
        <v>71700</v>
      </c>
      <c r="I313" s="117">
        <f>I311+I312</f>
        <v>22640</v>
      </c>
      <c r="J313" s="117">
        <f>J311+J312</f>
        <v>22640</v>
      </c>
      <c r="K313" s="117">
        <f>K311+K312</f>
        <v>0</v>
      </c>
      <c r="L313" s="1184"/>
    </row>
    <row r="314" spans="1:12" s="87" customFormat="1" ht="13.15" hidden="1" customHeight="1">
      <c r="A314" s="1194">
        <v>11</v>
      </c>
      <c r="B314" s="1195"/>
      <c r="C314" s="1195" t="s">
        <v>80</v>
      </c>
      <c r="D314" s="1184" t="s">
        <v>375</v>
      </c>
      <c r="E314" s="1194" t="s">
        <v>372</v>
      </c>
      <c r="F314" s="114" t="s">
        <v>21</v>
      </c>
      <c r="G314" s="117">
        <v>3830000</v>
      </c>
      <c r="H314" s="121">
        <v>2880000</v>
      </c>
      <c r="I314" s="117">
        <f>J314+K314</f>
        <v>950000</v>
      </c>
      <c r="J314" s="117">
        <v>950000</v>
      </c>
      <c r="K314" s="117">
        <v>0</v>
      </c>
      <c r="L314" s="1184" t="s">
        <v>243</v>
      </c>
    </row>
    <row r="315" spans="1:12" s="87" customFormat="1" hidden="1">
      <c r="A315" s="1194"/>
      <c r="B315" s="1195"/>
      <c r="C315" s="1195"/>
      <c r="D315" s="1184"/>
      <c r="E315" s="1194"/>
      <c r="F315" s="114" t="s">
        <v>22</v>
      </c>
      <c r="G315" s="117"/>
      <c r="H315" s="121"/>
      <c r="I315" s="117">
        <f>J315+K315</f>
        <v>0</v>
      </c>
      <c r="J315" s="117"/>
      <c r="K315" s="117"/>
      <c r="L315" s="1184"/>
    </row>
    <row r="316" spans="1:12" s="87" customFormat="1" hidden="1">
      <c r="A316" s="1194"/>
      <c r="B316" s="1195"/>
      <c r="C316" s="1195"/>
      <c r="D316" s="1184"/>
      <c r="E316" s="1194"/>
      <c r="F316" s="114" t="s">
        <v>23</v>
      </c>
      <c r="G316" s="117">
        <f>G314+G315</f>
        <v>3830000</v>
      </c>
      <c r="H316" s="117">
        <f>H314+H315</f>
        <v>2880000</v>
      </c>
      <c r="I316" s="117">
        <f>I314+I315</f>
        <v>950000</v>
      </c>
      <c r="J316" s="117">
        <f>J314+J315</f>
        <v>950000</v>
      </c>
      <c r="K316" s="117">
        <f>K314+K315</f>
        <v>0</v>
      </c>
      <c r="L316" s="1184"/>
    </row>
    <row r="317" spans="1:12" s="87" customFormat="1" ht="13.15" hidden="1" customHeight="1">
      <c r="A317" s="1194">
        <v>9</v>
      </c>
      <c r="B317" s="1195"/>
      <c r="C317" s="1195" t="s">
        <v>80</v>
      </c>
      <c r="D317" s="1184" t="s">
        <v>376</v>
      </c>
      <c r="E317" s="1194" t="s">
        <v>377</v>
      </c>
      <c r="F317" s="114" t="s">
        <v>21</v>
      </c>
      <c r="G317" s="117">
        <v>231277</v>
      </c>
      <c r="H317" s="121">
        <v>216517</v>
      </c>
      <c r="I317" s="117">
        <f>J317+K317</f>
        <v>14760</v>
      </c>
      <c r="J317" s="117">
        <v>14760</v>
      </c>
      <c r="K317" s="117">
        <v>0</v>
      </c>
      <c r="L317" s="1184" t="s">
        <v>243</v>
      </c>
    </row>
    <row r="318" spans="1:12" s="87" customFormat="1" hidden="1">
      <c r="A318" s="1194"/>
      <c r="B318" s="1195"/>
      <c r="C318" s="1195"/>
      <c r="D318" s="1184"/>
      <c r="E318" s="1194"/>
      <c r="F318" s="114" t="s">
        <v>22</v>
      </c>
      <c r="G318" s="117"/>
      <c r="H318" s="121"/>
      <c r="I318" s="117">
        <f>J318+K318</f>
        <v>0</v>
      </c>
      <c r="J318" s="117"/>
      <c r="K318" s="117"/>
      <c r="L318" s="1184"/>
    </row>
    <row r="319" spans="1:12" s="87" customFormat="1" hidden="1">
      <c r="A319" s="1194"/>
      <c r="B319" s="1195"/>
      <c r="C319" s="1195"/>
      <c r="D319" s="1184"/>
      <c r="E319" s="1194"/>
      <c r="F319" s="114" t="s">
        <v>23</v>
      </c>
      <c r="G319" s="117">
        <f>G317+G318</f>
        <v>231277</v>
      </c>
      <c r="H319" s="117">
        <f>H317+H318</f>
        <v>216517</v>
      </c>
      <c r="I319" s="117">
        <f>I317+I318</f>
        <v>14760</v>
      </c>
      <c r="J319" s="117">
        <f>J317+J318</f>
        <v>14760</v>
      </c>
      <c r="K319" s="117">
        <f>K317+K318</f>
        <v>0</v>
      </c>
      <c r="L319" s="1184"/>
    </row>
    <row r="320" spans="1:12" s="113" customFormat="1" ht="13.15" hidden="1" customHeight="1">
      <c r="A320" s="1188"/>
      <c r="B320" s="1197" t="s">
        <v>93</v>
      </c>
      <c r="C320" s="1197"/>
      <c r="D320" s="1199" t="s">
        <v>94</v>
      </c>
      <c r="E320" s="1188" t="s">
        <v>239</v>
      </c>
      <c r="F320" s="111" t="s">
        <v>21</v>
      </c>
      <c r="G320" s="122">
        <f t="shared" ref="G320:K321" si="15">G323</f>
        <v>914225</v>
      </c>
      <c r="H320" s="122">
        <f t="shared" si="15"/>
        <v>114562</v>
      </c>
      <c r="I320" s="122">
        <f t="shared" si="15"/>
        <v>543172</v>
      </c>
      <c r="J320" s="122">
        <f t="shared" si="15"/>
        <v>543172</v>
      </c>
      <c r="K320" s="122">
        <f t="shared" si="15"/>
        <v>0</v>
      </c>
      <c r="L320" s="1200" t="s">
        <v>239</v>
      </c>
    </row>
    <row r="321" spans="1:12" s="113" customFormat="1" hidden="1">
      <c r="A321" s="1188"/>
      <c r="B321" s="1197"/>
      <c r="C321" s="1197"/>
      <c r="D321" s="1199"/>
      <c r="E321" s="1188"/>
      <c r="F321" s="111" t="s">
        <v>22</v>
      </c>
      <c r="G321" s="122">
        <f t="shared" si="15"/>
        <v>0</v>
      </c>
      <c r="H321" s="122">
        <f t="shared" si="15"/>
        <v>0</v>
      </c>
      <c r="I321" s="122">
        <f t="shared" si="15"/>
        <v>0</v>
      </c>
      <c r="J321" s="122">
        <f t="shared" si="15"/>
        <v>0</v>
      </c>
      <c r="K321" s="122">
        <f t="shared" si="15"/>
        <v>0</v>
      </c>
      <c r="L321" s="1200"/>
    </row>
    <row r="322" spans="1:12" s="113" customFormat="1" hidden="1">
      <c r="A322" s="1188"/>
      <c r="B322" s="1197"/>
      <c r="C322" s="1197"/>
      <c r="D322" s="1199"/>
      <c r="E322" s="1188"/>
      <c r="F322" s="111" t="s">
        <v>23</v>
      </c>
      <c r="G322" s="122">
        <f>G320+G321</f>
        <v>914225</v>
      </c>
      <c r="H322" s="122">
        <f>H320+H321</f>
        <v>114562</v>
      </c>
      <c r="I322" s="122">
        <f>I320+I321</f>
        <v>543172</v>
      </c>
      <c r="J322" s="122">
        <f>J320+J321</f>
        <v>543172</v>
      </c>
      <c r="K322" s="122">
        <f>K320+K321</f>
        <v>0</v>
      </c>
      <c r="L322" s="1200"/>
    </row>
    <row r="323" spans="1:12" s="87" customFormat="1" ht="13.15" hidden="1" customHeight="1">
      <c r="A323" s="1194">
        <v>5</v>
      </c>
      <c r="B323" s="1195"/>
      <c r="C323" s="1195" t="s">
        <v>95</v>
      </c>
      <c r="D323" s="1184" t="s">
        <v>378</v>
      </c>
      <c r="E323" s="1194" t="s">
        <v>353</v>
      </c>
      <c r="F323" s="114" t="s">
        <v>21</v>
      </c>
      <c r="G323" s="117">
        <v>914225</v>
      </c>
      <c r="H323" s="121">
        <v>114562</v>
      </c>
      <c r="I323" s="117">
        <f>J323+K323</f>
        <v>543172</v>
      </c>
      <c r="J323" s="117">
        <v>543172</v>
      </c>
      <c r="K323" s="117">
        <v>0</v>
      </c>
      <c r="L323" s="1184" t="s">
        <v>243</v>
      </c>
    </row>
    <row r="324" spans="1:12" s="87" customFormat="1" hidden="1">
      <c r="A324" s="1194"/>
      <c r="B324" s="1195"/>
      <c r="C324" s="1195"/>
      <c r="D324" s="1184"/>
      <c r="E324" s="1194"/>
      <c r="F324" s="114" t="s">
        <v>22</v>
      </c>
      <c r="G324" s="117"/>
      <c r="H324" s="121"/>
      <c r="I324" s="117">
        <f>J324+K324</f>
        <v>0</v>
      </c>
      <c r="J324" s="117"/>
      <c r="K324" s="117"/>
      <c r="L324" s="1184"/>
    </row>
    <row r="325" spans="1:12" s="87" customFormat="1" hidden="1">
      <c r="A325" s="1194"/>
      <c r="B325" s="1195"/>
      <c r="C325" s="1195"/>
      <c r="D325" s="1184"/>
      <c r="E325" s="1194"/>
      <c r="F325" s="114" t="s">
        <v>23</v>
      </c>
      <c r="G325" s="117">
        <f>G323+G324</f>
        <v>914225</v>
      </c>
      <c r="H325" s="117">
        <f>H323+H324</f>
        <v>114562</v>
      </c>
      <c r="I325" s="117">
        <f>I323+I324</f>
        <v>543172</v>
      </c>
      <c r="J325" s="117">
        <f>J323+J324</f>
        <v>543172</v>
      </c>
      <c r="K325" s="117">
        <f>K323+K324</f>
        <v>0</v>
      </c>
      <c r="L325" s="1184"/>
    </row>
    <row r="326" spans="1:12" s="113" customFormat="1" hidden="1">
      <c r="A326" s="1188"/>
      <c r="B326" s="1197" t="s">
        <v>96</v>
      </c>
      <c r="C326" s="1197"/>
      <c r="D326" s="1199" t="s">
        <v>97</v>
      </c>
      <c r="E326" s="1188" t="s">
        <v>239</v>
      </c>
      <c r="F326" s="111" t="s">
        <v>21</v>
      </c>
      <c r="G326" s="112">
        <f t="shared" ref="G326:K327" si="16">G329</f>
        <v>9978062</v>
      </c>
      <c r="H326" s="112">
        <f t="shared" si="16"/>
        <v>217781</v>
      </c>
      <c r="I326" s="112">
        <f t="shared" si="16"/>
        <v>2607294</v>
      </c>
      <c r="J326" s="112">
        <f t="shared" si="16"/>
        <v>2607294</v>
      </c>
      <c r="K326" s="112">
        <f t="shared" si="16"/>
        <v>0</v>
      </c>
      <c r="L326" s="1188" t="s">
        <v>239</v>
      </c>
    </row>
    <row r="327" spans="1:12" s="113" customFormat="1" hidden="1">
      <c r="A327" s="1188"/>
      <c r="B327" s="1197"/>
      <c r="C327" s="1197"/>
      <c r="D327" s="1199"/>
      <c r="E327" s="1188"/>
      <c r="F327" s="111" t="s">
        <v>22</v>
      </c>
      <c r="G327" s="112">
        <f t="shared" si="16"/>
        <v>0</v>
      </c>
      <c r="H327" s="112">
        <f t="shared" si="16"/>
        <v>0</v>
      </c>
      <c r="I327" s="112">
        <f t="shared" si="16"/>
        <v>0</v>
      </c>
      <c r="J327" s="112">
        <f t="shared" si="16"/>
        <v>0</v>
      </c>
      <c r="K327" s="112">
        <f t="shared" si="16"/>
        <v>0</v>
      </c>
      <c r="L327" s="1188"/>
    </row>
    <row r="328" spans="1:12" s="113" customFormat="1" hidden="1">
      <c r="A328" s="1188"/>
      <c r="B328" s="1197"/>
      <c r="C328" s="1197"/>
      <c r="D328" s="1199"/>
      <c r="E328" s="1188"/>
      <c r="F328" s="111" t="s">
        <v>23</v>
      </c>
      <c r="G328" s="112">
        <f>G326+G327</f>
        <v>9978062</v>
      </c>
      <c r="H328" s="112">
        <f>H326+H327</f>
        <v>217781</v>
      </c>
      <c r="I328" s="112">
        <f>I326+I327</f>
        <v>2607294</v>
      </c>
      <c r="J328" s="112">
        <f>J326+J327</f>
        <v>2607294</v>
      </c>
      <c r="K328" s="112">
        <f>K326+K327</f>
        <v>0</v>
      </c>
      <c r="L328" s="1188"/>
    </row>
    <row r="329" spans="1:12" s="87" customFormat="1" ht="13.15" hidden="1" customHeight="1">
      <c r="A329" s="1194">
        <v>10</v>
      </c>
      <c r="B329" s="1195"/>
      <c r="C329" s="1195" t="s">
        <v>100</v>
      </c>
      <c r="D329" s="1184" t="s">
        <v>379</v>
      </c>
      <c r="E329" s="1194" t="s">
        <v>380</v>
      </c>
      <c r="F329" s="114" t="s">
        <v>21</v>
      </c>
      <c r="G329" s="117">
        <v>9978062</v>
      </c>
      <c r="H329" s="121">
        <v>217781</v>
      </c>
      <c r="I329" s="117">
        <f>J329+K329</f>
        <v>2607294</v>
      </c>
      <c r="J329" s="117">
        <v>2607294</v>
      </c>
      <c r="K329" s="117">
        <v>0</v>
      </c>
      <c r="L329" s="1184" t="s">
        <v>243</v>
      </c>
    </row>
    <row r="330" spans="1:12" s="87" customFormat="1" hidden="1">
      <c r="A330" s="1194"/>
      <c r="B330" s="1195"/>
      <c r="C330" s="1195"/>
      <c r="D330" s="1184"/>
      <c r="E330" s="1194"/>
      <c r="F330" s="114" t="s">
        <v>22</v>
      </c>
      <c r="G330" s="117"/>
      <c r="H330" s="121"/>
      <c r="I330" s="117">
        <f>J330+K330</f>
        <v>0</v>
      </c>
      <c r="J330" s="117"/>
      <c r="K330" s="117"/>
      <c r="L330" s="1184"/>
    </row>
    <row r="331" spans="1:12" s="87" customFormat="1" hidden="1">
      <c r="A331" s="1194"/>
      <c r="B331" s="1195"/>
      <c r="C331" s="1195"/>
      <c r="D331" s="1184"/>
      <c r="E331" s="1194"/>
      <c r="F331" s="114" t="s">
        <v>23</v>
      </c>
      <c r="G331" s="117">
        <f>G329+G330</f>
        <v>9978062</v>
      </c>
      <c r="H331" s="117">
        <f>H329+H330</f>
        <v>217781</v>
      </c>
      <c r="I331" s="117">
        <f>I329+I330</f>
        <v>2607294</v>
      </c>
      <c r="J331" s="117">
        <f>J329+J330</f>
        <v>2607294</v>
      </c>
      <c r="K331" s="117">
        <f>K329+K330</f>
        <v>0</v>
      </c>
      <c r="L331" s="1184"/>
    </row>
    <row r="332" spans="1:12" s="113" customFormat="1" hidden="1">
      <c r="A332" s="1188"/>
      <c r="B332" s="1197" t="s">
        <v>101</v>
      </c>
      <c r="C332" s="1197"/>
      <c r="D332" s="1199" t="s">
        <v>102</v>
      </c>
      <c r="E332" s="1188" t="s">
        <v>239</v>
      </c>
      <c r="F332" s="111" t="s">
        <v>21</v>
      </c>
      <c r="G332" s="112">
        <f t="shared" ref="G332:K333" si="17">G335</f>
        <v>2625259</v>
      </c>
      <c r="H332" s="112">
        <f t="shared" si="17"/>
        <v>1875259</v>
      </c>
      <c r="I332" s="112">
        <f t="shared" si="17"/>
        <v>584675</v>
      </c>
      <c r="J332" s="112">
        <f t="shared" si="17"/>
        <v>584675</v>
      </c>
      <c r="K332" s="112">
        <f t="shared" si="17"/>
        <v>0</v>
      </c>
      <c r="L332" s="1188" t="s">
        <v>239</v>
      </c>
    </row>
    <row r="333" spans="1:12" s="113" customFormat="1" hidden="1">
      <c r="A333" s="1188"/>
      <c r="B333" s="1197"/>
      <c r="C333" s="1197"/>
      <c r="D333" s="1199"/>
      <c r="E333" s="1188"/>
      <c r="F333" s="111" t="s">
        <v>22</v>
      </c>
      <c r="G333" s="112">
        <f t="shared" si="17"/>
        <v>0</v>
      </c>
      <c r="H333" s="112">
        <f t="shared" si="17"/>
        <v>0</v>
      </c>
      <c r="I333" s="112">
        <f t="shared" si="17"/>
        <v>0</v>
      </c>
      <c r="J333" s="112">
        <f t="shared" si="17"/>
        <v>0</v>
      </c>
      <c r="K333" s="112">
        <f t="shared" si="17"/>
        <v>0</v>
      </c>
      <c r="L333" s="1188"/>
    </row>
    <row r="334" spans="1:12" s="113" customFormat="1" hidden="1">
      <c r="A334" s="1188"/>
      <c r="B334" s="1197"/>
      <c r="C334" s="1197"/>
      <c r="D334" s="1199"/>
      <c r="E334" s="1188"/>
      <c r="F334" s="111" t="s">
        <v>23</v>
      </c>
      <c r="G334" s="112">
        <f>G332+G333</f>
        <v>2625259</v>
      </c>
      <c r="H334" s="112">
        <f>H332+H333</f>
        <v>1875259</v>
      </c>
      <c r="I334" s="112">
        <f>I332+I333</f>
        <v>584675</v>
      </c>
      <c r="J334" s="112">
        <f>J332+J333</f>
        <v>584675</v>
      </c>
      <c r="K334" s="112">
        <f>K332+K333</f>
        <v>0</v>
      </c>
      <c r="L334" s="1188"/>
    </row>
    <row r="335" spans="1:12" s="87" customFormat="1" ht="13.15" hidden="1" customHeight="1">
      <c r="A335" s="1194">
        <v>8</v>
      </c>
      <c r="B335" s="1195"/>
      <c r="C335" s="1195" t="s">
        <v>105</v>
      </c>
      <c r="D335" s="1184" t="s">
        <v>381</v>
      </c>
      <c r="E335" s="1194" t="s">
        <v>382</v>
      </c>
      <c r="F335" s="114" t="s">
        <v>21</v>
      </c>
      <c r="G335" s="117">
        <v>2625259</v>
      </c>
      <c r="H335" s="121">
        <v>1875259</v>
      </c>
      <c r="I335" s="117">
        <f>J335+K335</f>
        <v>584675</v>
      </c>
      <c r="J335" s="117">
        <v>584675</v>
      </c>
      <c r="K335" s="117">
        <v>0</v>
      </c>
      <c r="L335" s="1184" t="s">
        <v>243</v>
      </c>
    </row>
    <row r="336" spans="1:12" s="87" customFormat="1" hidden="1">
      <c r="A336" s="1194"/>
      <c r="B336" s="1195"/>
      <c r="C336" s="1195"/>
      <c r="D336" s="1184"/>
      <c r="E336" s="1194"/>
      <c r="F336" s="114" t="s">
        <v>22</v>
      </c>
      <c r="G336" s="117"/>
      <c r="H336" s="121"/>
      <c r="I336" s="117">
        <f>J336+K336</f>
        <v>0</v>
      </c>
      <c r="J336" s="117"/>
      <c r="K336" s="117"/>
      <c r="L336" s="1184"/>
    </row>
    <row r="337" spans="1:12" s="87" customFormat="1" hidden="1">
      <c r="A337" s="1194"/>
      <c r="B337" s="1195"/>
      <c r="C337" s="1195"/>
      <c r="D337" s="1184"/>
      <c r="E337" s="1194"/>
      <c r="F337" s="114" t="s">
        <v>23</v>
      </c>
      <c r="G337" s="117">
        <f>G335+G336</f>
        <v>2625259</v>
      </c>
      <c r="H337" s="117">
        <f>H335+H336</f>
        <v>1875259</v>
      </c>
      <c r="I337" s="117">
        <f>I335+I336</f>
        <v>584675</v>
      </c>
      <c r="J337" s="117">
        <f>J335+J336</f>
        <v>584675</v>
      </c>
      <c r="K337" s="117">
        <f>K335+K336</f>
        <v>0</v>
      </c>
      <c r="L337" s="1184"/>
    </row>
    <row r="338" spans="1:12" s="113" customFormat="1" hidden="1">
      <c r="A338" s="1188"/>
      <c r="B338" s="1197" t="s">
        <v>131</v>
      </c>
      <c r="C338" s="1197"/>
      <c r="D338" s="1199" t="s">
        <v>132</v>
      </c>
      <c r="E338" s="1188" t="s">
        <v>239</v>
      </c>
      <c r="F338" s="111" t="s">
        <v>21</v>
      </c>
      <c r="G338" s="112">
        <f t="shared" ref="G338:K339" si="18">G341+G344</f>
        <v>7647600</v>
      </c>
      <c r="H338" s="112">
        <f t="shared" si="18"/>
        <v>73800</v>
      </c>
      <c r="I338" s="112">
        <f t="shared" si="18"/>
        <v>73800</v>
      </c>
      <c r="J338" s="112">
        <f t="shared" si="18"/>
        <v>73800</v>
      </c>
      <c r="K338" s="112">
        <f t="shared" si="18"/>
        <v>0</v>
      </c>
      <c r="L338" s="1188" t="s">
        <v>239</v>
      </c>
    </row>
    <row r="339" spans="1:12" s="113" customFormat="1" hidden="1">
      <c r="A339" s="1188"/>
      <c r="B339" s="1197"/>
      <c r="C339" s="1197"/>
      <c r="D339" s="1199"/>
      <c r="E339" s="1188"/>
      <c r="F339" s="111" t="s">
        <v>22</v>
      </c>
      <c r="G339" s="112">
        <f t="shared" si="18"/>
        <v>0</v>
      </c>
      <c r="H339" s="112">
        <f t="shared" si="18"/>
        <v>0</v>
      </c>
      <c r="I339" s="112">
        <f t="shared" si="18"/>
        <v>0</v>
      </c>
      <c r="J339" s="112">
        <f t="shared" si="18"/>
        <v>0</v>
      </c>
      <c r="K339" s="112">
        <f t="shared" si="18"/>
        <v>0</v>
      </c>
      <c r="L339" s="1188"/>
    </row>
    <row r="340" spans="1:12" s="113" customFormat="1" hidden="1">
      <c r="A340" s="1188"/>
      <c r="B340" s="1197"/>
      <c r="C340" s="1197"/>
      <c r="D340" s="1199"/>
      <c r="E340" s="1188"/>
      <c r="F340" s="111" t="s">
        <v>23</v>
      </c>
      <c r="G340" s="112">
        <f>G338+G339</f>
        <v>7647600</v>
      </c>
      <c r="H340" s="112">
        <f>H338+H339</f>
        <v>73800</v>
      </c>
      <c r="I340" s="112">
        <f>I338+I339</f>
        <v>73800</v>
      </c>
      <c r="J340" s="112">
        <f>J338+J339</f>
        <v>73800</v>
      </c>
      <c r="K340" s="112">
        <f>K338+K339</f>
        <v>0</v>
      </c>
      <c r="L340" s="1188"/>
    </row>
    <row r="341" spans="1:12" s="87" customFormat="1" ht="13.15" hidden="1" customHeight="1">
      <c r="A341" s="1194">
        <v>11</v>
      </c>
      <c r="B341" s="1195"/>
      <c r="C341" s="1195" t="s">
        <v>148</v>
      </c>
      <c r="D341" s="1184" t="s">
        <v>383</v>
      </c>
      <c r="E341" s="1194" t="s">
        <v>384</v>
      </c>
      <c r="F341" s="114" t="s">
        <v>21</v>
      </c>
      <c r="G341" s="117">
        <v>7500000</v>
      </c>
      <c r="H341" s="121">
        <v>0</v>
      </c>
      <c r="I341" s="117">
        <f>J341+K341</f>
        <v>0</v>
      </c>
      <c r="J341" s="117">
        <v>0</v>
      </c>
      <c r="K341" s="117">
        <v>0</v>
      </c>
      <c r="L341" s="1184" t="s">
        <v>243</v>
      </c>
    </row>
    <row r="342" spans="1:12" s="87" customFormat="1" hidden="1">
      <c r="A342" s="1194"/>
      <c r="B342" s="1195"/>
      <c r="C342" s="1195"/>
      <c r="D342" s="1184"/>
      <c r="E342" s="1194"/>
      <c r="F342" s="114" t="s">
        <v>22</v>
      </c>
      <c r="G342" s="117"/>
      <c r="H342" s="121"/>
      <c r="I342" s="117">
        <f>J342+K342</f>
        <v>0</v>
      </c>
      <c r="J342" s="117"/>
      <c r="K342" s="117"/>
      <c r="L342" s="1184"/>
    </row>
    <row r="343" spans="1:12" s="87" customFormat="1" hidden="1">
      <c r="A343" s="1194"/>
      <c r="B343" s="1195"/>
      <c r="C343" s="1195"/>
      <c r="D343" s="1184"/>
      <c r="E343" s="1194"/>
      <c r="F343" s="114" t="s">
        <v>23</v>
      </c>
      <c r="G343" s="117">
        <f>G341+G342</f>
        <v>7500000</v>
      </c>
      <c r="H343" s="117">
        <f>H341+H342</f>
        <v>0</v>
      </c>
      <c r="I343" s="117">
        <f>I341+I342</f>
        <v>0</v>
      </c>
      <c r="J343" s="117">
        <f>J341+J342</f>
        <v>0</v>
      </c>
      <c r="K343" s="117">
        <f>K341+K342</f>
        <v>0</v>
      </c>
      <c r="L343" s="1184"/>
    </row>
    <row r="344" spans="1:12" s="87" customFormat="1" ht="13.15" hidden="1" customHeight="1">
      <c r="A344" s="1194">
        <v>12</v>
      </c>
      <c r="B344" s="1195"/>
      <c r="C344" s="1195" t="s">
        <v>148</v>
      </c>
      <c r="D344" s="1184" t="s">
        <v>385</v>
      </c>
      <c r="E344" s="1194" t="s">
        <v>372</v>
      </c>
      <c r="F344" s="114" t="s">
        <v>21</v>
      </c>
      <c r="G344" s="117">
        <v>147600</v>
      </c>
      <c r="H344" s="121">
        <v>73800</v>
      </c>
      <c r="I344" s="117">
        <f>J344+K344</f>
        <v>73800</v>
      </c>
      <c r="J344" s="117">
        <v>73800</v>
      </c>
      <c r="K344" s="117">
        <v>0</v>
      </c>
      <c r="L344" s="1184" t="s">
        <v>243</v>
      </c>
    </row>
    <row r="345" spans="1:12" s="87" customFormat="1" hidden="1">
      <c r="A345" s="1194"/>
      <c r="B345" s="1195"/>
      <c r="C345" s="1195"/>
      <c r="D345" s="1184"/>
      <c r="E345" s="1194"/>
      <c r="F345" s="114" t="s">
        <v>22</v>
      </c>
      <c r="G345" s="117"/>
      <c r="H345" s="121"/>
      <c r="I345" s="117">
        <f>J345+K345</f>
        <v>0</v>
      </c>
      <c r="J345" s="117"/>
      <c r="K345" s="117"/>
      <c r="L345" s="1184"/>
    </row>
    <row r="346" spans="1:12" s="87" customFormat="1" hidden="1">
      <c r="A346" s="1194"/>
      <c r="B346" s="1195"/>
      <c r="C346" s="1195"/>
      <c r="D346" s="1184"/>
      <c r="E346" s="1194"/>
      <c r="F346" s="114" t="s">
        <v>23</v>
      </c>
      <c r="G346" s="117">
        <f>G344+G345</f>
        <v>147600</v>
      </c>
      <c r="H346" s="117">
        <f>H344+H345</f>
        <v>73800</v>
      </c>
      <c r="I346" s="117">
        <f>I344+I345</f>
        <v>73800</v>
      </c>
      <c r="J346" s="117">
        <f>J344+J345</f>
        <v>73800</v>
      </c>
      <c r="K346" s="117">
        <f>K344+K345</f>
        <v>0</v>
      </c>
      <c r="L346" s="1184"/>
    </row>
    <row r="347" spans="1:12" s="113" customFormat="1" ht="13.15" hidden="1" customHeight="1">
      <c r="A347" s="1188"/>
      <c r="B347" s="1197" t="s">
        <v>158</v>
      </c>
      <c r="C347" s="1197"/>
      <c r="D347" s="1198" t="s">
        <v>159</v>
      </c>
      <c r="E347" s="1188" t="s">
        <v>239</v>
      </c>
      <c r="F347" s="111" t="s">
        <v>21</v>
      </c>
      <c r="G347" s="112">
        <f t="shared" ref="G347:K348" si="19">G350</f>
        <v>1144880</v>
      </c>
      <c r="H347" s="112">
        <f t="shared" si="19"/>
        <v>1120668</v>
      </c>
      <c r="I347" s="112">
        <f t="shared" si="19"/>
        <v>24212</v>
      </c>
      <c r="J347" s="112">
        <f t="shared" si="19"/>
        <v>24212</v>
      </c>
      <c r="K347" s="112">
        <f t="shared" si="19"/>
        <v>0</v>
      </c>
      <c r="L347" s="1188" t="s">
        <v>239</v>
      </c>
    </row>
    <row r="348" spans="1:12" s="113" customFormat="1" hidden="1">
      <c r="A348" s="1188"/>
      <c r="B348" s="1197"/>
      <c r="C348" s="1197"/>
      <c r="D348" s="1198"/>
      <c r="E348" s="1188"/>
      <c r="F348" s="111" t="s">
        <v>22</v>
      </c>
      <c r="G348" s="112">
        <f t="shared" si="19"/>
        <v>0</v>
      </c>
      <c r="H348" s="112">
        <f t="shared" si="19"/>
        <v>0</v>
      </c>
      <c r="I348" s="112">
        <f t="shared" si="19"/>
        <v>0</v>
      </c>
      <c r="J348" s="112">
        <f t="shared" si="19"/>
        <v>0</v>
      </c>
      <c r="K348" s="112">
        <f t="shared" si="19"/>
        <v>0</v>
      </c>
      <c r="L348" s="1188"/>
    </row>
    <row r="349" spans="1:12" s="113" customFormat="1" hidden="1">
      <c r="A349" s="1188"/>
      <c r="B349" s="1197"/>
      <c r="C349" s="1197"/>
      <c r="D349" s="1198"/>
      <c r="E349" s="1188"/>
      <c r="F349" s="111" t="s">
        <v>23</v>
      </c>
      <c r="G349" s="112">
        <f>G347+G348</f>
        <v>1144880</v>
      </c>
      <c r="H349" s="112">
        <f>H347+H348</f>
        <v>1120668</v>
      </c>
      <c r="I349" s="112">
        <f>I347+I348</f>
        <v>24212</v>
      </c>
      <c r="J349" s="112">
        <f>J347+J348</f>
        <v>24212</v>
      </c>
      <c r="K349" s="112">
        <f>K347+K348</f>
        <v>0</v>
      </c>
      <c r="L349" s="1188"/>
    </row>
    <row r="350" spans="1:12" s="87" customFormat="1" ht="13.15" hidden="1" customHeight="1">
      <c r="A350" s="1194">
        <v>16</v>
      </c>
      <c r="B350" s="1195"/>
      <c r="C350" s="1195" t="s">
        <v>278</v>
      </c>
      <c r="D350" s="1184" t="s">
        <v>386</v>
      </c>
      <c r="E350" s="1194" t="s">
        <v>363</v>
      </c>
      <c r="F350" s="114" t="s">
        <v>21</v>
      </c>
      <c r="G350" s="117">
        <v>1144880</v>
      </c>
      <c r="H350" s="121">
        <f>262284+286128+286128+286128</f>
        <v>1120668</v>
      </c>
      <c r="I350" s="117">
        <f>J350+K350</f>
        <v>24212</v>
      </c>
      <c r="J350" s="117">
        <v>24212</v>
      </c>
      <c r="K350" s="117">
        <v>0</v>
      </c>
      <c r="L350" s="1184" t="s">
        <v>387</v>
      </c>
    </row>
    <row r="351" spans="1:12" s="87" customFormat="1" hidden="1">
      <c r="A351" s="1194"/>
      <c r="B351" s="1195"/>
      <c r="C351" s="1195"/>
      <c r="D351" s="1184"/>
      <c r="E351" s="1194"/>
      <c r="F351" s="114" t="s">
        <v>22</v>
      </c>
      <c r="G351" s="117"/>
      <c r="H351" s="121"/>
      <c r="I351" s="117">
        <f>J351+K351</f>
        <v>0</v>
      </c>
      <c r="J351" s="117"/>
      <c r="K351" s="117"/>
      <c r="L351" s="1184"/>
    </row>
    <row r="352" spans="1:12" s="87" customFormat="1" hidden="1">
      <c r="A352" s="1194"/>
      <c r="B352" s="1195"/>
      <c r="C352" s="1195"/>
      <c r="D352" s="1184"/>
      <c r="E352" s="1194"/>
      <c r="F352" s="114" t="s">
        <v>23</v>
      </c>
      <c r="G352" s="117">
        <f>G350+G351</f>
        <v>1144880</v>
      </c>
      <c r="H352" s="117">
        <f>H350+H351</f>
        <v>1120668</v>
      </c>
      <c r="I352" s="117">
        <f>I350+I351</f>
        <v>24212</v>
      </c>
      <c r="J352" s="117">
        <f>J350+J351</f>
        <v>24212</v>
      </c>
      <c r="K352" s="117">
        <f>K350+K351</f>
        <v>0</v>
      </c>
      <c r="L352" s="1184"/>
    </row>
    <row r="353" spans="1:12" s="113" customFormat="1" ht="14.25" customHeight="1">
      <c r="A353" s="1188"/>
      <c r="B353" s="1197" t="s">
        <v>388</v>
      </c>
      <c r="C353" s="1197"/>
      <c r="D353" s="1198" t="s">
        <v>188</v>
      </c>
      <c r="E353" s="1188" t="s">
        <v>239</v>
      </c>
      <c r="F353" s="111" t="s">
        <v>21</v>
      </c>
      <c r="G353" s="112">
        <f t="shared" ref="G353:K354" si="20">G356+G359</f>
        <v>22600</v>
      </c>
      <c r="H353" s="112">
        <f t="shared" si="20"/>
        <v>4187</v>
      </c>
      <c r="I353" s="112">
        <f t="shared" si="20"/>
        <v>18413</v>
      </c>
      <c r="J353" s="112">
        <f t="shared" si="20"/>
        <v>18413</v>
      </c>
      <c r="K353" s="112">
        <f t="shared" si="20"/>
        <v>0</v>
      </c>
      <c r="L353" s="1188" t="s">
        <v>239</v>
      </c>
    </row>
    <row r="354" spans="1:12" s="113" customFormat="1" ht="14.25" customHeight="1">
      <c r="A354" s="1188"/>
      <c r="B354" s="1197"/>
      <c r="C354" s="1197"/>
      <c r="D354" s="1198"/>
      <c r="E354" s="1188"/>
      <c r="F354" s="111" t="s">
        <v>22</v>
      </c>
      <c r="G354" s="112">
        <f t="shared" si="20"/>
        <v>223363</v>
      </c>
      <c r="H354" s="112">
        <f t="shared" si="20"/>
        <v>223363</v>
      </c>
      <c r="I354" s="112">
        <f t="shared" si="20"/>
        <v>0</v>
      </c>
      <c r="J354" s="112">
        <f t="shared" si="20"/>
        <v>0</v>
      </c>
      <c r="K354" s="112">
        <f t="shared" si="20"/>
        <v>0</v>
      </c>
      <c r="L354" s="1188"/>
    </row>
    <row r="355" spans="1:12" s="113" customFormat="1" ht="14.25" customHeight="1">
      <c r="A355" s="1188"/>
      <c r="B355" s="1197"/>
      <c r="C355" s="1197"/>
      <c r="D355" s="1198"/>
      <c r="E355" s="1188"/>
      <c r="F355" s="111" t="s">
        <v>23</v>
      </c>
      <c r="G355" s="112">
        <f>G353+G354</f>
        <v>245963</v>
      </c>
      <c r="H355" s="112">
        <f>H353+H354</f>
        <v>227550</v>
      </c>
      <c r="I355" s="112">
        <f>I353+I354</f>
        <v>18413</v>
      </c>
      <c r="J355" s="112">
        <f>J353+J354</f>
        <v>18413</v>
      </c>
      <c r="K355" s="112">
        <f>K353+K354</f>
        <v>0</v>
      </c>
      <c r="L355" s="1188"/>
    </row>
    <row r="356" spans="1:12" s="87" customFormat="1" ht="16.5" customHeight="1">
      <c r="A356" s="1194">
        <v>2</v>
      </c>
      <c r="B356" s="1195"/>
      <c r="C356" s="1195" t="s">
        <v>389</v>
      </c>
      <c r="D356" s="1184" t="s">
        <v>390</v>
      </c>
      <c r="E356" s="1194" t="s">
        <v>391</v>
      </c>
      <c r="F356" s="114" t="s">
        <v>21</v>
      </c>
      <c r="G356" s="117">
        <v>22600</v>
      </c>
      <c r="H356" s="121">
        <v>4187</v>
      </c>
      <c r="I356" s="117">
        <f>J356+K356</f>
        <v>18413</v>
      </c>
      <c r="J356" s="117">
        <v>18413</v>
      </c>
      <c r="K356" s="117">
        <v>0</v>
      </c>
      <c r="L356" s="1184" t="s">
        <v>243</v>
      </c>
    </row>
    <row r="357" spans="1:12" s="87" customFormat="1" ht="16.5" customHeight="1">
      <c r="A357" s="1194"/>
      <c r="B357" s="1195"/>
      <c r="C357" s="1195"/>
      <c r="D357" s="1184"/>
      <c r="E357" s="1194"/>
      <c r="F357" s="114" t="s">
        <v>22</v>
      </c>
      <c r="G357" s="117">
        <v>-8710</v>
      </c>
      <c r="H357" s="121"/>
      <c r="I357" s="117">
        <f>J357+K357</f>
        <v>-8710</v>
      </c>
      <c r="J357" s="117">
        <v>-8710</v>
      </c>
      <c r="K357" s="117"/>
      <c r="L357" s="1184"/>
    </row>
    <row r="358" spans="1:12" s="87" customFormat="1" ht="16.5" customHeight="1">
      <c r="A358" s="1194"/>
      <c r="B358" s="1195"/>
      <c r="C358" s="1195"/>
      <c r="D358" s="1184"/>
      <c r="E358" s="1194"/>
      <c r="F358" s="114" t="s">
        <v>23</v>
      </c>
      <c r="G358" s="117">
        <f>G356+G357</f>
        <v>13890</v>
      </c>
      <c r="H358" s="117">
        <f>H356+H357</f>
        <v>4187</v>
      </c>
      <c r="I358" s="117">
        <f>I356+I357</f>
        <v>9703</v>
      </c>
      <c r="J358" s="117">
        <f>J356+J357</f>
        <v>9703</v>
      </c>
      <c r="K358" s="117">
        <f>K356+K357</f>
        <v>0</v>
      </c>
      <c r="L358" s="1184"/>
    </row>
    <row r="359" spans="1:12" s="87" customFormat="1" ht="16.5" customHeight="1">
      <c r="A359" s="1194">
        <v>3</v>
      </c>
      <c r="B359" s="1195"/>
      <c r="C359" s="1195" t="s">
        <v>392</v>
      </c>
      <c r="D359" s="1184" t="s">
        <v>390</v>
      </c>
      <c r="E359" s="1194" t="s">
        <v>391</v>
      </c>
      <c r="F359" s="114" t="s">
        <v>21</v>
      </c>
      <c r="G359" s="117">
        <v>0</v>
      </c>
      <c r="H359" s="121">
        <v>0</v>
      </c>
      <c r="I359" s="117">
        <f>J359+K359</f>
        <v>0</v>
      </c>
      <c r="J359" s="117">
        <v>0</v>
      </c>
      <c r="K359" s="117">
        <v>0</v>
      </c>
      <c r="L359" s="1184" t="s">
        <v>243</v>
      </c>
    </row>
    <row r="360" spans="1:12" s="87" customFormat="1" ht="16.5" customHeight="1">
      <c r="A360" s="1194"/>
      <c r="B360" s="1195"/>
      <c r="C360" s="1195"/>
      <c r="D360" s="1184"/>
      <c r="E360" s="1194"/>
      <c r="F360" s="114" t="s">
        <v>22</v>
      </c>
      <c r="G360" s="117">
        <v>232073</v>
      </c>
      <c r="H360" s="121">
        <v>223363</v>
      </c>
      <c r="I360" s="117">
        <f>J360+K360</f>
        <v>8710</v>
      </c>
      <c r="J360" s="117">
        <v>8710</v>
      </c>
      <c r="K360" s="117"/>
      <c r="L360" s="1184"/>
    </row>
    <row r="361" spans="1:12" s="87" customFormat="1" ht="16.5" customHeight="1">
      <c r="A361" s="1194"/>
      <c r="B361" s="1195"/>
      <c r="C361" s="1195"/>
      <c r="D361" s="1184"/>
      <c r="E361" s="1194"/>
      <c r="F361" s="114" t="s">
        <v>23</v>
      </c>
      <c r="G361" s="117">
        <f>G359+G360</f>
        <v>232073</v>
      </c>
      <c r="H361" s="117">
        <f>H359+H360</f>
        <v>223363</v>
      </c>
      <c r="I361" s="117">
        <f>I359+I360</f>
        <v>8710</v>
      </c>
      <c r="J361" s="117">
        <f>J359+J360</f>
        <v>8710</v>
      </c>
      <c r="K361" s="117">
        <f>K359+K360</f>
        <v>0</v>
      </c>
      <c r="L361" s="1184"/>
    </row>
    <row r="362" spans="1:12" s="113" customFormat="1" ht="13.15" customHeight="1">
      <c r="A362" s="1188"/>
      <c r="B362" s="1197" t="s">
        <v>300</v>
      </c>
      <c r="C362" s="1197"/>
      <c r="D362" s="1198" t="s">
        <v>197</v>
      </c>
      <c r="E362" s="1188" t="s">
        <v>239</v>
      </c>
      <c r="F362" s="111" t="s">
        <v>21</v>
      </c>
      <c r="G362" s="112">
        <f t="shared" ref="G362:K363" si="21">G365+G368+G371+G374+G377+G380+G383+G386+G389</f>
        <v>30031981</v>
      </c>
      <c r="H362" s="112">
        <f t="shared" si="21"/>
        <v>10480535</v>
      </c>
      <c r="I362" s="112">
        <f t="shared" si="21"/>
        <v>10421248</v>
      </c>
      <c r="J362" s="112">
        <f t="shared" si="21"/>
        <v>10421248</v>
      </c>
      <c r="K362" s="112">
        <f t="shared" si="21"/>
        <v>0</v>
      </c>
      <c r="L362" s="1188" t="s">
        <v>239</v>
      </c>
    </row>
    <row r="363" spans="1:12" s="113" customFormat="1">
      <c r="A363" s="1188"/>
      <c r="B363" s="1197"/>
      <c r="C363" s="1197"/>
      <c r="D363" s="1198"/>
      <c r="E363" s="1188"/>
      <c r="F363" s="111" t="s">
        <v>22</v>
      </c>
      <c r="G363" s="112">
        <f t="shared" si="21"/>
        <v>0</v>
      </c>
      <c r="H363" s="112">
        <f t="shared" si="21"/>
        <v>0</v>
      </c>
      <c r="I363" s="112">
        <f t="shared" si="21"/>
        <v>0</v>
      </c>
      <c r="J363" s="112">
        <f t="shared" si="21"/>
        <v>0</v>
      </c>
      <c r="K363" s="112">
        <f t="shared" si="21"/>
        <v>0</v>
      </c>
      <c r="L363" s="1188"/>
    </row>
    <row r="364" spans="1:12" s="113" customFormat="1">
      <c r="A364" s="1188"/>
      <c r="B364" s="1197"/>
      <c r="C364" s="1197"/>
      <c r="D364" s="1198"/>
      <c r="E364" s="1188"/>
      <c r="F364" s="111" t="s">
        <v>23</v>
      </c>
      <c r="G364" s="112">
        <f>G362+G363</f>
        <v>30031981</v>
      </c>
      <c r="H364" s="112">
        <f>H362+H363</f>
        <v>10480535</v>
      </c>
      <c r="I364" s="112">
        <f>I362+I363</f>
        <v>10421248</v>
      </c>
      <c r="J364" s="112">
        <f>J362+J363</f>
        <v>10421248</v>
      </c>
      <c r="K364" s="112">
        <f>K362+K363</f>
        <v>0</v>
      </c>
      <c r="L364" s="1188"/>
    </row>
    <row r="365" spans="1:12" s="87" customFormat="1" ht="25.5" customHeight="1">
      <c r="A365" s="1194">
        <v>4</v>
      </c>
      <c r="B365" s="1195"/>
      <c r="C365" s="1195" t="s">
        <v>301</v>
      </c>
      <c r="D365" s="1184" t="s">
        <v>481</v>
      </c>
      <c r="E365" s="1194" t="s">
        <v>393</v>
      </c>
      <c r="F365" s="114" t="s">
        <v>21</v>
      </c>
      <c r="G365" s="117">
        <v>9575438</v>
      </c>
      <c r="H365" s="121">
        <f>116783</f>
        <v>116783</v>
      </c>
      <c r="I365" s="117">
        <f>J365+K365</f>
        <v>1183093</v>
      </c>
      <c r="J365" s="117">
        <v>1183093</v>
      </c>
      <c r="K365" s="117">
        <v>0</v>
      </c>
      <c r="L365" s="1184" t="s">
        <v>480</v>
      </c>
    </row>
    <row r="366" spans="1:12" s="87" customFormat="1" ht="25.5" customHeight="1">
      <c r="A366" s="1194"/>
      <c r="B366" s="1195"/>
      <c r="C366" s="1195"/>
      <c r="D366" s="1184"/>
      <c r="E366" s="1194"/>
      <c r="F366" s="114" t="s">
        <v>22</v>
      </c>
      <c r="G366" s="117"/>
      <c r="H366" s="121"/>
      <c r="I366" s="117">
        <f>J366+K366</f>
        <v>0</v>
      </c>
      <c r="J366" s="117"/>
      <c r="K366" s="117"/>
      <c r="L366" s="1184"/>
    </row>
    <row r="367" spans="1:12" s="87" customFormat="1" ht="25.5" customHeight="1">
      <c r="A367" s="1194"/>
      <c r="B367" s="1195"/>
      <c r="C367" s="1195"/>
      <c r="D367" s="1184"/>
      <c r="E367" s="1194"/>
      <c r="F367" s="114" t="s">
        <v>23</v>
      </c>
      <c r="G367" s="117">
        <f>G365+G366</f>
        <v>9575438</v>
      </c>
      <c r="H367" s="117">
        <f>H365+H366</f>
        <v>116783</v>
      </c>
      <c r="I367" s="117">
        <f>I365+I366</f>
        <v>1183093</v>
      </c>
      <c r="J367" s="117">
        <f>J365+J366</f>
        <v>1183093</v>
      </c>
      <c r="K367" s="117">
        <f>K365+K366</f>
        <v>0</v>
      </c>
      <c r="L367" s="1184"/>
    </row>
    <row r="368" spans="1:12" s="87" customFormat="1" ht="17.45" customHeight="1">
      <c r="A368" s="1194">
        <v>5</v>
      </c>
      <c r="B368" s="1195"/>
      <c r="C368" s="1195" t="s">
        <v>301</v>
      </c>
      <c r="D368" s="1184" t="s">
        <v>394</v>
      </c>
      <c r="E368" s="1194" t="s">
        <v>395</v>
      </c>
      <c r="F368" s="114" t="s">
        <v>21</v>
      </c>
      <c r="G368" s="117">
        <v>6883153</v>
      </c>
      <c r="H368" s="121">
        <v>6551355</v>
      </c>
      <c r="I368" s="117">
        <f>J368+K368</f>
        <v>274768</v>
      </c>
      <c r="J368" s="117">
        <v>274768</v>
      </c>
      <c r="K368" s="117">
        <v>0</v>
      </c>
      <c r="L368" s="1184" t="s">
        <v>480</v>
      </c>
    </row>
    <row r="369" spans="1:12" s="87" customFormat="1" ht="17.45" customHeight="1">
      <c r="A369" s="1194"/>
      <c r="B369" s="1195"/>
      <c r="C369" s="1195"/>
      <c r="D369" s="1184"/>
      <c r="E369" s="1194"/>
      <c r="F369" s="114" t="s">
        <v>22</v>
      </c>
      <c r="G369" s="117"/>
      <c r="H369" s="121"/>
      <c r="I369" s="117">
        <f>J369+K369</f>
        <v>0</v>
      </c>
      <c r="J369" s="117"/>
      <c r="K369" s="117"/>
      <c r="L369" s="1184"/>
    </row>
    <row r="370" spans="1:12" s="87" customFormat="1" ht="17.45" customHeight="1">
      <c r="A370" s="1194"/>
      <c r="B370" s="1195"/>
      <c r="C370" s="1195"/>
      <c r="D370" s="1184"/>
      <c r="E370" s="1194"/>
      <c r="F370" s="114" t="s">
        <v>23</v>
      </c>
      <c r="G370" s="117">
        <f>G368+G369</f>
        <v>6883153</v>
      </c>
      <c r="H370" s="117">
        <f>H368+H369</f>
        <v>6551355</v>
      </c>
      <c r="I370" s="117">
        <f>I368+I369</f>
        <v>274768</v>
      </c>
      <c r="J370" s="117">
        <f>J368+J369</f>
        <v>274768</v>
      </c>
      <c r="K370" s="117">
        <f>K368+K369</f>
        <v>0</v>
      </c>
      <c r="L370" s="1184"/>
    </row>
    <row r="371" spans="1:12" s="87" customFormat="1" ht="24" customHeight="1">
      <c r="A371" s="1194">
        <v>6</v>
      </c>
      <c r="B371" s="1195"/>
      <c r="C371" s="1195" t="s">
        <v>301</v>
      </c>
      <c r="D371" s="1184" t="s">
        <v>396</v>
      </c>
      <c r="E371" s="1194" t="s">
        <v>359</v>
      </c>
      <c r="F371" s="114" t="s">
        <v>21</v>
      </c>
      <c r="G371" s="117">
        <v>7832943</v>
      </c>
      <c r="H371" s="121">
        <v>548706</v>
      </c>
      <c r="I371" s="117">
        <f>J371+K371</f>
        <v>6814127</v>
      </c>
      <c r="J371" s="117">
        <v>6814127</v>
      </c>
      <c r="K371" s="117">
        <v>0</v>
      </c>
      <c r="L371" s="1184" t="s">
        <v>480</v>
      </c>
    </row>
    <row r="372" spans="1:12" s="87" customFormat="1" ht="24" customHeight="1">
      <c r="A372" s="1194"/>
      <c r="B372" s="1195"/>
      <c r="C372" s="1195"/>
      <c r="D372" s="1184"/>
      <c r="E372" s="1194"/>
      <c r="F372" s="114" t="s">
        <v>22</v>
      </c>
      <c r="G372" s="117"/>
      <c r="H372" s="121"/>
      <c r="I372" s="117">
        <f>J372+K372</f>
        <v>0</v>
      </c>
      <c r="J372" s="117"/>
      <c r="K372" s="117"/>
      <c r="L372" s="1184"/>
    </row>
    <row r="373" spans="1:12" s="87" customFormat="1" ht="24" customHeight="1">
      <c r="A373" s="1194"/>
      <c r="B373" s="1195"/>
      <c r="C373" s="1195"/>
      <c r="D373" s="1184"/>
      <c r="E373" s="1194"/>
      <c r="F373" s="114" t="s">
        <v>23</v>
      </c>
      <c r="G373" s="117">
        <f>G371+G372</f>
        <v>7832943</v>
      </c>
      <c r="H373" s="117">
        <f>H371+H372</f>
        <v>548706</v>
      </c>
      <c r="I373" s="117">
        <f>I371+I372</f>
        <v>6814127</v>
      </c>
      <c r="J373" s="117">
        <f>J371+J372</f>
        <v>6814127</v>
      </c>
      <c r="K373" s="117">
        <f>K371+K372</f>
        <v>0</v>
      </c>
      <c r="L373" s="1184"/>
    </row>
    <row r="374" spans="1:12" s="87" customFormat="1" ht="13.15" hidden="1" customHeight="1">
      <c r="A374" s="1194">
        <v>20</v>
      </c>
      <c r="B374" s="1195"/>
      <c r="C374" s="1195" t="s">
        <v>301</v>
      </c>
      <c r="D374" s="1184" t="s">
        <v>397</v>
      </c>
      <c r="E374" s="1194" t="s">
        <v>355</v>
      </c>
      <c r="F374" s="114" t="s">
        <v>21</v>
      </c>
      <c r="G374" s="117">
        <v>928774</v>
      </c>
      <c r="H374" s="121">
        <v>67200</v>
      </c>
      <c r="I374" s="117">
        <f>J374+K374</f>
        <v>861574</v>
      </c>
      <c r="J374" s="117">
        <v>861574</v>
      </c>
      <c r="K374" s="117">
        <v>0</v>
      </c>
      <c r="L374" s="1184" t="s">
        <v>303</v>
      </c>
    </row>
    <row r="375" spans="1:12" s="87" customFormat="1" hidden="1">
      <c r="A375" s="1194"/>
      <c r="B375" s="1195"/>
      <c r="C375" s="1195"/>
      <c r="D375" s="1184"/>
      <c r="E375" s="1194"/>
      <c r="F375" s="114" t="s">
        <v>22</v>
      </c>
      <c r="G375" s="117"/>
      <c r="H375" s="121"/>
      <c r="I375" s="117">
        <f>J375+K375</f>
        <v>0</v>
      </c>
      <c r="J375" s="117"/>
      <c r="K375" s="117"/>
      <c r="L375" s="1184"/>
    </row>
    <row r="376" spans="1:12" s="87" customFormat="1" ht="16.149999999999999" hidden="1" customHeight="1">
      <c r="A376" s="1194"/>
      <c r="B376" s="1195"/>
      <c r="C376" s="1195"/>
      <c r="D376" s="1184"/>
      <c r="E376" s="1194"/>
      <c r="F376" s="114" t="s">
        <v>23</v>
      </c>
      <c r="G376" s="117">
        <f>G374+G375</f>
        <v>928774</v>
      </c>
      <c r="H376" s="117">
        <f>H374+H375</f>
        <v>67200</v>
      </c>
      <c r="I376" s="117">
        <f>I374+I375</f>
        <v>861574</v>
      </c>
      <c r="J376" s="117">
        <f>J374+J375</f>
        <v>861574</v>
      </c>
      <c r="K376" s="117">
        <f>K374+K375</f>
        <v>0</v>
      </c>
      <c r="L376" s="1184"/>
    </row>
    <row r="377" spans="1:12" s="87" customFormat="1" ht="13.15" hidden="1" customHeight="1">
      <c r="A377" s="1194">
        <v>15</v>
      </c>
      <c r="B377" s="1195"/>
      <c r="C377" s="1195" t="s">
        <v>398</v>
      </c>
      <c r="D377" s="1196" t="s">
        <v>399</v>
      </c>
      <c r="E377" s="1194" t="s">
        <v>349</v>
      </c>
      <c r="F377" s="114" t="s">
        <v>21</v>
      </c>
      <c r="G377" s="117">
        <v>2472317</v>
      </c>
      <c r="H377" s="121">
        <v>2231244</v>
      </c>
      <c r="I377" s="117">
        <f>J377+K377</f>
        <v>241073</v>
      </c>
      <c r="J377" s="117">
        <v>241073</v>
      </c>
      <c r="K377" s="117">
        <v>0</v>
      </c>
      <c r="L377" s="1184" t="s">
        <v>400</v>
      </c>
    </row>
    <row r="378" spans="1:12" s="87" customFormat="1" hidden="1">
      <c r="A378" s="1194"/>
      <c r="B378" s="1195"/>
      <c r="C378" s="1195"/>
      <c r="D378" s="1196"/>
      <c r="E378" s="1194"/>
      <c r="F378" s="114" t="s">
        <v>22</v>
      </c>
      <c r="G378" s="117"/>
      <c r="H378" s="121"/>
      <c r="I378" s="117">
        <f>J378+K378</f>
        <v>0</v>
      </c>
      <c r="J378" s="117"/>
      <c r="K378" s="117"/>
      <c r="L378" s="1184"/>
    </row>
    <row r="379" spans="1:12" s="87" customFormat="1" hidden="1">
      <c r="A379" s="1194"/>
      <c r="B379" s="1195"/>
      <c r="C379" s="1195"/>
      <c r="D379" s="1196"/>
      <c r="E379" s="1194"/>
      <c r="F379" s="114" t="s">
        <v>23</v>
      </c>
      <c r="G379" s="117">
        <f>G377+G378</f>
        <v>2472317</v>
      </c>
      <c r="H379" s="117">
        <f>H377+H378</f>
        <v>2231244</v>
      </c>
      <c r="I379" s="117">
        <f>I377+I378</f>
        <v>241073</v>
      </c>
      <c r="J379" s="117">
        <f>J377+J378</f>
        <v>241073</v>
      </c>
      <c r="K379" s="117">
        <f>K377+K378</f>
        <v>0</v>
      </c>
      <c r="L379" s="1184"/>
    </row>
    <row r="380" spans="1:12" s="87" customFormat="1" ht="13.15" hidden="1" customHeight="1">
      <c r="A380" s="1194">
        <v>4</v>
      </c>
      <c r="B380" s="1195"/>
      <c r="C380" s="1195" t="s">
        <v>398</v>
      </c>
      <c r="D380" s="1196" t="s">
        <v>401</v>
      </c>
      <c r="E380" s="1194" t="s">
        <v>349</v>
      </c>
      <c r="F380" s="114" t="s">
        <v>21</v>
      </c>
      <c r="G380" s="117">
        <v>1406647</v>
      </c>
      <c r="H380" s="121">
        <v>906647</v>
      </c>
      <c r="I380" s="117">
        <f>J380+K380</f>
        <v>500000</v>
      </c>
      <c r="J380" s="117">
        <v>500000</v>
      </c>
      <c r="K380" s="117">
        <v>0</v>
      </c>
      <c r="L380" s="1184" t="s">
        <v>400</v>
      </c>
    </row>
    <row r="381" spans="1:12" s="87" customFormat="1" hidden="1">
      <c r="A381" s="1194"/>
      <c r="B381" s="1195"/>
      <c r="C381" s="1195"/>
      <c r="D381" s="1196"/>
      <c r="E381" s="1194"/>
      <c r="F381" s="114" t="s">
        <v>22</v>
      </c>
      <c r="G381" s="117"/>
      <c r="H381" s="121"/>
      <c r="I381" s="117">
        <f>J381+K381</f>
        <v>0</v>
      </c>
      <c r="J381" s="117"/>
      <c r="K381" s="117"/>
      <c r="L381" s="1184"/>
    </row>
    <row r="382" spans="1:12" s="87" customFormat="1" hidden="1">
      <c r="A382" s="1194"/>
      <c r="B382" s="1195"/>
      <c r="C382" s="1195"/>
      <c r="D382" s="1196"/>
      <c r="E382" s="1194"/>
      <c r="F382" s="114" t="s">
        <v>23</v>
      </c>
      <c r="G382" s="117">
        <f>G380+G381</f>
        <v>1406647</v>
      </c>
      <c r="H382" s="117">
        <f>H380+H381</f>
        <v>906647</v>
      </c>
      <c r="I382" s="117">
        <f>I380+I381</f>
        <v>500000</v>
      </c>
      <c r="J382" s="117">
        <f>J380+J381</f>
        <v>500000</v>
      </c>
      <c r="K382" s="117">
        <f>K380+K381</f>
        <v>0</v>
      </c>
      <c r="L382" s="1184"/>
    </row>
    <row r="383" spans="1:12" s="87" customFormat="1" ht="13.15" hidden="1" customHeight="1">
      <c r="A383" s="1194">
        <v>16</v>
      </c>
      <c r="B383" s="1195"/>
      <c r="C383" s="1195" t="s">
        <v>309</v>
      </c>
      <c r="D383" s="1196" t="s">
        <v>402</v>
      </c>
      <c r="E383" s="1194" t="s">
        <v>355</v>
      </c>
      <c r="F383" s="114" t="s">
        <v>21</v>
      </c>
      <c r="G383" s="117">
        <v>150460</v>
      </c>
      <c r="H383" s="121">
        <v>12700</v>
      </c>
      <c r="I383" s="117">
        <f>J383+K383</f>
        <v>137760</v>
      </c>
      <c r="J383" s="117">
        <v>137760</v>
      </c>
      <c r="K383" s="117">
        <v>0</v>
      </c>
      <c r="L383" s="1184" t="s">
        <v>310</v>
      </c>
    </row>
    <row r="384" spans="1:12" s="87" customFormat="1" hidden="1">
      <c r="A384" s="1194"/>
      <c r="B384" s="1195"/>
      <c r="C384" s="1195"/>
      <c r="D384" s="1196"/>
      <c r="E384" s="1194"/>
      <c r="F384" s="114" t="s">
        <v>22</v>
      </c>
      <c r="G384" s="117"/>
      <c r="H384" s="121"/>
      <c r="I384" s="117">
        <f>J384+K384</f>
        <v>0</v>
      </c>
      <c r="J384" s="117"/>
      <c r="K384" s="117"/>
      <c r="L384" s="1184"/>
    </row>
    <row r="385" spans="1:12" s="87" customFormat="1" hidden="1">
      <c r="A385" s="1194"/>
      <c r="B385" s="1195"/>
      <c r="C385" s="1195"/>
      <c r="D385" s="1196"/>
      <c r="E385" s="1194"/>
      <c r="F385" s="114" t="s">
        <v>23</v>
      </c>
      <c r="G385" s="117">
        <f>G383+G384</f>
        <v>150460</v>
      </c>
      <c r="H385" s="117">
        <f>H383+H384</f>
        <v>12700</v>
      </c>
      <c r="I385" s="117">
        <f>I383+I384</f>
        <v>137760</v>
      </c>
      <c r="J385" s="117">
        <f>J383+J384</f>
        <v>137760</v>
      </c>
      <c r="K385" s="117">
        <f>K383+K384</f>
        <v>0</v>
      </c>
      <c r="L385" s="1184"/>
    </row>
    <row r="386" spans="1:12" s="87" customFormat="1" ht="13.15" hidden="1" customHeight="1">
      <c r="A386" s="1194">
        <v>22</v>
      </c>
      <c r="B386" s="1195"/>
      <c r="C386" s="1195" t="s">
        <v>322</v>
      </c>
      <c r="D386" s="1196" t="s">
        <v>403</v>
      </c>
      <c r="E386" s="1194" t="s">
        <v>372</v>
      </c>
      <c r="F386" s="114" t="s">
        <v>21</v>
      </c>
      <c r="G386" s="117">
        <v>432249</v>
      </c>
      <c r="H386" s="121">
        <f>35900+10000</f>
        <v>45900</v>
      </c>
      <c r="I386" s="117">
        <f>J386+K386</f>
        <v>386349</v>
      </c>
      <c r="J386" s="117">
        <v>386349</v>
      </c>
      <c r="K386" s="117">
        <v>0</v>
      </c>
      <c r="L386" s="1184" t="s">
        <v>330</v>
      </c>
    </row>
    <row r="387" spans="1:12" s="87" customFormat="1" hidden="1">
      <c r="A387" s="1194"/>
      <c r="B387" s="1195"/>
      <c r="C387" s="1195"/>
      <c r="D387" s="1196"/>
      <c r="E387" s="1194"/>
      <c r="F387" s="114" t="s">
        <v>22</v>
      </c>
      <c r="G387" s="117"/>
      <c r="H387" s="121"/>
      <c r="I387" s="117">
        <f>J387+K387</f>
        <v>0</v>
      </c>
      <c r="J387" s="117"/>
      <c r="K387" s="117"/>
      <c r="L387" s="1184"/>
    </row>
    <row r="388" spans="1:12" s="87" customFormat="1" hidden="1">
      <c r="A388" s="1194"/>
      <c r="B388" s="1195"/>
      <c r="C388" s="1195"/>
      <c r="D388" s="1196"/>
      <c r="E388" s="1194"/>
      <c r="F388" s="114" t="s">
        <v>23</v>
      </c>
      <c r="G388" s="117">
        <f>G386+G387</f>
        <v>432249</v>
      </c>
      <c r="H388" s="117">
        <f>H386+H387</f>
        <v>45900</v>
      </c>
      <c r="I388" s="117">
        <f>I386+I387</f>
        <v>386349</v>
      </c>
      <c r="J388" s="117">
        <f>J386+J387</f>
        <v>386349</v>
      </c>
      <c r="K388" s="117">
        <f>K386+K387</f>
        <v>0</v>
      </c>
      <c r="L388" s="1184"/>
    </row>
    <row r="389" spans="1:12" s="87" customFormat="1" ht="13.15" hidden="1" customHeight="1">
      <c r="A389" s="1194">
        <v>9</v>
      </c>
      <c r="B389" s="1195"/>
      <c r="C389" s="1195" t="s">
        <v>322</v>
      </c>
      <c r="D389" s="1196" t="s">
        <v>323</v>
      </c>
      <c r="E389" s="1194" t="s">
        <v>404</v>
      </c>
      <c r="F389" s="114" t="s">
        <v>21</v>
      </c>
      <c r="G389" s="117">
        <v>350000</v>
      </c>
      <c r="H389" s="121">
        <v>0</v>
      </c>
      <c r="I389" s="117">
        <f>J389+K389</f>
        <v>22504</v>
      </c>
      <c r="J389" s="117">
        <v>22504</v>
      </c>
      <c r="K389" s="117">
        <v>0</v>
      </c>
      <c r="L389" s="1184" t="s">
        <v>324</v>
      </c>
    </row>
    <row r="390" spans="1:12" s="87" customFormat="1" hidden="1">
      <c r="A390" s="1194"/>
      <c r="B390" s="1195"/>
      <c r="C390" s="1195"/>
      <c r="D390" s="1196"/>
      <c r="E390" s="1194"/>
      <c r="F390" s="114" t="s">
        <v>22</v>
      </c>
      <c r="G390" s="117"/>
      <c r="H390" s="121"/>
      <c r="I390" s="117">
        <f>J390+K390</f>
        <v>0</v>
      </c>
      <c r="J390" s="117"/>
      <c r="K390" s="117"/>
      <c r="L390" s="1184"/>
    </row>
    <row r="391" spans="1:12" s="87" customFormat="1" hidden="1">
      <c r="A391" s="1194"/>
      <c r="B391" s="1195"/>
      <c r="C391" s="1195"/>
      <c r="D391" s="1196"/>
      <c r="E391" s="1194"/>
      <c r="F391" s="114" t="s">
        <v>23</v>
      </c>
      <c r="G391" s="117">
        <f>G389+G390</f>
        <v>350000</v>
      </c>
      <c r="H391" s="117">
        <f>H389+H390</f>
        <v>0</v>
      </c>
      <c r="I391" s="117">
        <f>I389+I390</f>
        <v>22504</v>
      </c>
      <c r="J391" s="117">
        <f>J389+J390</f>
        <v>22504</v>
      </c>
      <c r="K391" s="117">
        <f>K389+K390</f>
        <v>0</v>
      </c>
      <c r="L391" s="1184"/>
    </row>
    <row r="392" spans="1:12" s="87" customFormat="1">
      <c r="A392" s="114"/>
      <c r="B392" s="115"/>
      <c r="C392" s="115"/>
      <c r="D392" s="116"/>
      <c r="E392" s="114"/>
      <c r="F392" s="114"/>
      <c r="G392" s="117"/>
      <c r="H392" s="121"/>
      <c r="I392" s="117"/>
      <c r="J392" s="117"/>
      <c r="K392" s="117"/>
      <c r="L392" s="119"/>
    </row>
    <row r="393" spans="1:12" s="113" customFormat="1" ht="15.6" customHeight="1">
      <c r="A393" s="1186" t="s">
        <v>345</v>
      </c>
      <c r="B393" s="1186"/>
      <c r="C393" s="1186"/>
      <c r="D393" s="1186"/>
      <c r="E393" s="1187" t="s">
        <v>239</v>
      </c>
      <c r="F393" s="104" t="s">
        <v>21</v>
      </c>
      <c r="G393" s="120">
        <f t="shared" ref="G393:K394" si="22">G260+G308+G320+G326+G332+G338+G347+G362+G353</f>
        <v>409577196</v>
      </c>
      <c r="H393" s="120">
        <f t="shared" si="22"/>
        <v>101448227</v>
      </c>
      <c r="I393" s="120">
        <f t="shared" si="22"/>
        <v>68245808</v>
      </c>
      <c r="J393" s="120">
        <f t="shared" si="22"/>
        <v>67736794</v>
      </c>
      <c r="K393" s="120">
        <f t="shared" si="22"/>
        <v>509014</v>
      </c>
      <c r="L393" s="1186" t="s">
        <v>239</v>
      </c>
    </row>
    <row r="394" spans="1:12" s="113" customFormat="1" ht="15.75">
      <c r="A394" s="1186"/>
      <c r="B394" s="1186"/>
      <c r="C394" s="1186"/>
      <c r="D394" s="1186"/>
      <c r="E394" s="1187"/>
      <c r="F394" s="104" t="s">
        <v>22</v>
      </c>
      <c r="G394" s="120">
        <f t="shared" si="22"/>
        <v>-527732</v>
      </c>
      <c r="H394" s="120">
        <f t="shared" si="22"/>
        <v>223363</v>
      </c>
      <c r="I394" s="120">
        <f t="shared" si="22"/>
        <v>-751095</v>
      </c>
      <c r="J394" s="120">
        <f t="shared" si="22"/>
        <v>-751095</v>
      </c>
      <c r="K394" s="120">
        <f t="shared" si="22"/>
        <v>0</v>
      </c>
      <c r="L394" s="1186"/>
    </row>
    <row r="395" spans="1:12" s="113" customFormat="1" ht="15.75">
      <c r="A395" s="1186"/>
      <c r="B395" s="1186"/>
      <c r="C395" s="1186"/>
      <c r="D395" s="1186"/>
      <c r="E395" s="1187"/>
      <c r="F395" s="104" t="s">
        <v>23</v>
      </c>
      <c r="G395" s="120">
        <f>G393+G394</f>
        <v>409049464</v>
      </c>
      <c r="H395" s="120">
        <f>H393+H394</f>
        <v>101671590</v>
      </c>
      <c r="I395" s="120">
        <f>I393+I394</f>
        <v>67494713</v>
      </c>
      <c r="J395" s="120">
        <f>J393+J394</f>
        <v>66985699</v>
      </c>
      <c r="K395" s="120">
        <f>K393+K394</f>
        <v>509014</v>
      </c>
      <c r="L395" s="1186"/>
    </row>
    <row r="396" spans="1:12" s="87" customFormat="1" ht="8.4499999999999993" customHeight="1">
      <c r="A396" s="1193"/>
      <c r="B396" s="1193"/>
      <c r="C396" s="1193"/>
      <c r="D396" s="1193"/>
      <c r="E396" s="1193"/>
      <c r="F396" s="1193"/>
      <c r="G396" s="1193"/>
      <c r="H396" s="1193"/>
      <c r="I396" s="1193"/>
      <c r="J396" s="1193"/>
      <c r="K396" s="1193"/>
      <c r="L396" s="1193"/>
    </row>
    <row r="397" spans="1:12" s="123" customFormat="1" ht="20.45" customHeight="1">
      <c r="A397" s="104" t="s">
        <v>405</v>
      </c>
      <c r="B397" s="1189" t="s">
        <v>406</v>
      </c>
      <c r="C397" s="1189"/>
      <c r="D397" s="1189"/>
      <c r="E397" s="1189"/>
      <c r="F397" s="1189"/>
      <c r="G397" s="1189"/>
      <c r="H397" s="1189"/>
      <c r="I397" s="1189"/>
      <c r="J397" s="1189"/>
      <c r="K397" s="1189"/>
      <c r="L397" s="1189"/>
    </row>
    <row r="398" spans="1:12" s="113" customFormat="1" ht="6" customHeight="1">
      <c r="A398" s="1190"/>
      <c r="B398" s="1190"/>
      <c r="C398" s="1190"/>
      <c r="D398" s="1190"/>
      <c r="E398" s="1190"/>
      <c r="F398" s="1190"/>
      <c r="G398" s="1190"/>
      <c r="H398" s="1190"/>
      <c r="I398" s="1190"/>
      <c r="J398" s="1190"/>
      <c r="K398" s="1190"/>
      <c r="L398" s="1190"/>
    </row>
    <row r="399" spans="1:12" s="113" customFormat="1">
      <c r="A399" s="1188" t="s">
        <v>239</v>
      </c>
      <c r="B399" s="1188" t="s">
        <v>239</v>
      </c>
      <c r="C399" s="1188" t="s">
        <v>239</v>
      </c>
      <c r="D399" s="1188" t="s">
        <v>239</v>
      </c>
      <c r="E399" s="1188" t="s">
        <v>239</v>
      </c>
      <c r="F399" s="111" t="s">
        <v>21</v>
      </c>
      <c r="G399" s="1188" t="s">
        <v>239</v>
      </c>
      <c r="H399" s="1188" t="s">
        <v>239</v>
      </c>
      <c r="I399" s="122">
        <f>J399+K399</f>
        <v>261565252</v>
      </c>
      <c r="J399" s="122">
        <v>27086083</v>
      </c>
      <c r="K399" s="122">
        <v>234479169</v>
      </c>
      <c r="L399" s="1188" t="s">
        <v>239</v>
      </c>
    </row>
    <row r="400" spans="1:12" s="113" customFormat="1">
      <c r="A400" s="1188"/>
      <c r="B400" s="1188"/>
      <c r="C400" s="1188"/>
      <c r="D400" s="1188"/>
      <c r="E400" s="1188"/>
      <c r="F400" s="111" t="s">
        <v>22</v>
      </c>
      <c r="G400" s="1188"/>
      <c r="H400" s="1188"/>
      <c r="I400" s="122">
        <f>J400+K400</f>
        <v>-82412202</v>
      </c>
      <c r="J400" s="122"/>
      <c r="K400" s="122">
        <v>-82412202</v>
      </c>
      <c r="L400" s="1188"/>
    </row>
    <row r="401" spans="1:12" s="113" customFormat="1">
      <c r="A401" s="1188"/>
      <c r="B401" s="1188"/>
      <c r="C401" s="1188"/>
      <c r="D401" s="1188"/>
      <c r="E401" s="1188"/>
      <c r="F401" s="111" t="s">
        <v>23</v>
      </c>
      <c r="G401" s="1188"/>
      <c r="H401" s="1188"/>
      <c r="I401" s="122">
        <f>I399+I400</f>
        <v>179153050</v>
      </c>
      <c r="J401" s="122">
        <f>J399+J400</f>
        <v>27086083</v>
      </c>
      <c r="K401" s="122">
        <f>K399+K400</f>
        <v>152066967</v>
      </c>
      <c r="L401" s="1188"/>
    </row>
    <row r="402" spans="1:12" s="113" customFormat="1" ht="6" customHeight="1">
      <c r="A402" s="1185" t="s">
        <v>407</v>
      </c>
      <c r="B402" s="1185"/>
      <c r="C402" s="1185"/>
      <c r="D402" s="1185"/>
      <c r="E402" s="1185"/>
      <c r="F402" s="1185"/>
      <c r="G402" s="1185"/>
      <c r="H402" s="1185"/>
      <c r="I402" s="1185"/>
      <c r="J402" s="1185"/>
      <c r="K402" s="1185"/>
      <c r="L402" s="1185"/>
    </row>
    <row r="403" spans="1:12" s="123" customFormat="1" ht="19.149999999999999" customHeight="1">
      <c r="A403" s="104" t="s">
        <v>408</v>
      </c>
      <c r="B403" s="1189" t="s">
        <v>409</v>
      </c>
      <c r="C403" s="1189"/>
      <c r="D403" s="1189"/>
      <c r="E403" s="1189"/>
      <c r="F403" s="1189"/>
      <c r="G403" s="1189"/>
      <c r="H403" s="1189"/>
      <c r="I403" s="1189"/>
      <c r="J403" s="1189"/>
      <c r="K403" s="1189"/>
      <c r="L403" s="1189"/>
    </row>
    <row r="404" spans="1:12" s="113" customFormat="1" ht="6" customHeight="1">
      <c r="A404" s="1190"/>
      <c r="B404" s="1190"/>
      <c r="C404" s="1190"/>
      <c r="D404" s="1190"/>
      <c r="E404" s="1190"/>
      <c r="F404" s="1190"/>
      <c r="G404" s="1190"/>
      <c r="H404" s="1190"/>
      <c r="I404" s="1190"/>
      <c r="J404" s="1190"/>
      <c r="K404" s="1190"/>
      <c r="L404" s="1190"/>
    </row>
    <row r="405" spans="1:12" s="113" customFormat="1">
      <c r="A405" s="1188" t="s">
        <v>239</v>
      </c>
      <c r="B405" s="1188" t="s">
        <v>239</v>
      </c>
      <c r="C405" s="1188" t="s">
        <v>239</v>
      </c>
      <c r="D405" s="1188" t="s">
        <v>239</v>
      </c>
      <c r="E405" s="1188" t="s">
        <v>239</v>
      </c>
      <c r="F405" s="111" t="s">
        <v>21</v>
      </c>
      <c r="G405" s="1188" t="s">
        <v>239</v>
      </c>
      <c r="H405" s="1188" t="s">
        <v>239</v>
      </c>
      <c r="I405" s="122">
        <f>J405+K405</f>
        <v>27013454</v>
      </c>
      <c r="J405" s="122">
        <v>12784555</v>
      </c>
      <c r="K405" s="122">
        <v>14228899</v>
      </c>
      <c r="L405" s="1188" t="s">
        <v>239</v>
      </c>
    </row>
    <row r="406" spans="1:12" s="113" customFormat="1">
      <c r="A406" s="1188"/>
      <c r="B406" s="1188"/>
      <c r="C406" s="1188"/>
      <c r="D406" s="1188"/>
      <c r="E406" s="1188"/>
      <c r="F406" s="111" t="s">
        <v>22</v>
      </c>
      <c r="G406" s="1188"/>
      <c r="H406" s="1188"/>
      <c r="I406" s="122">
        <f>J406+K406</f>
        <v>-19350381</v>
      </c>
      <c r="J406" s="122">
        <f>-9115189-1275013</f>
        <v>-10390202</v>
      </c>
      <c r="K406" s="122">
        <v>-8960179</v>
      </c>
      <c r="L406" s="1188"/>
    </row>
    <row r="407" spans="1:12" s="113" customFormat="1">
      <c r="A407" s="1188"/>
      <c r="B407" s="1188"/>
      <c r="C407" s="1188"/>
      <c r="D407" s="1188"/>
      <c r="E407" s="1188"/>
      <c r="F407" s="111" t="s">
        <v>23</v>
      </c>
      <c r="G407" s="1188"/>
      <c r="H407" s="1188"/>
      <c r="I407" s="122">
        <f>I405+I406</f>
        <v>7663073</v>
      </c>
      <c r="J407" s="122">
        <f>J405+J406</f>
        <v>2394353</v>
      </c>
      <c r="K407" s="122">
        <f>K405+K406</f>
        <v>5268720</v>
      </c>
      <c r="L407" s="1188"/>
    </row>
    <row r="408" spans="1:12" s="113" customFormat="1" ht="6.6" customHeight="1">
      <c r="A408" s="124"/>
      <c r="B408" s="124"/>
      <c r="C408" s="124"/>
      <c r="D408" s="124"/>
      <c r="E408" s="124"/>
      <c r="F408" s="111"/>
      <c r="G408" s="124"/>
      <c r="H408" s="124"/>
      <c r="I408" s="122"/>
      <c r="J408" s="122"/>
      <c r="K408" s="122"/>
      <c r="L408" s="124"/>
    </row>
    <row r="409" spans="1:12" s="123" customFormat="1" ht="15.6" hidden="1" customHeight="1">
      <c r="A409" s="104" t="s">
        <v>410</v>
      </c>
      <c r="B409" s="1189" t="s">
        <v>411</v>
      </c>
      <c r="C409" s="1189"/>
      <c r="D409" s="1189"/>
      <c r="E409" s="1189"/>
      <c r="F409" s="1189"/>
      <c r="G409" s="1189"/>
      <c r="H409" s="1189"/>
      <c r="I409" s="1189"/>
      <c r="J409" s="1189"/>
      <c r="K409" s="1189"/>
      <c r="L409" s="1189"/>
    </row>
    <row r="410" spans="1:12" s="113" customFormat="1" ht="4.1500000000000004" hidden="1" customHeight="1">
      <c r="A410" s="1190"/>
      <c r="B410" s="1190"/>
      <c r="C410" s="1190"/>
      <c r="D410" s="1190"/>
      <c r="E410" s="1190"/>
      <c r="F410" s="1190"/>
      <c r="G410" s="1190"/>
      <c r="H410" s="1190"/>
      <c r="I410" s="1190"/>
      <c r="J410" s="1190"/>
      <c r="K410" s="1190"/>
      <c r="L410" s="1190"/>
    </row>
    <row r="411" spans="1:12" s="127" customFormat="1" ht="13.15" hidden="1" customHeight="1">
      <c r="A411" s="1191">
        <v>1</v>
      </c>
      <c r="B411" s="1191">
        <v>900</v>
      </c>
      <c r="C411" s="1191">
        <v>90002</v>
      </c>
      <c r="D411" s="1192" t="s">
        <v>412</v>
      </c>
      <c r="E411" s="1191">
        <v>2020</v>
      </c>
      <c r="F411" s="125" t="s">
        <v>21</v>
      </c>
      <c r="G411" s="126">
        <v>63618</v>
      </c>
      <c r="H411" s="1183" t="s">
        <v>239</v>
      </c>
      <c r="I411" s="126">
        <f>J411+K411</f>
        <v>63618</v>
      </c>
      <c r="J411" s="126">
        <v>0</v>
      </c>
      <c r="K411" s="126">
        <v>63618</v>
      </c>
      <c r="L411" s="1184" t="s">
        <v>243</v>
      </c>
    </row>
    <row r="412" spans="1:12" s="127" customFormat="1" ht="13.9" hidden="1" customHeight="1">
      <c r="A412" s="1191"/>
      <c r="B412" s="1191"/>
      <c r="C412" s="1191"/>
      <c r="D412" s="1192"/>
      <c r="E412" s="1191"/>
      <c r="F412" s="125" t="s">
        <v>22</v>
      </c>
      <c r="G412" s="126"/>
      <c r="H412" s="1183"/>
      <c r="I412" s="126">
        <f>J412+K412</f>
        <v>0</v>
      </c>
      <c r="J412" s="126"/>
      <c r="K412" s="126"/>
      <c r="L412" s="1184"/>
    </row>
    <row r="413" spans="1:12" s="127" customFormat="1" ht="14.45" hidden="1" customHeight="1">
      <c r="A413" s="1191"/>
      <c r="B413" s="1191"/>
      <c r="C413" s="1191"/>
      <c r="D413" s="1192"/>
      <c r="E413" s="1191"/>
      <c r="F413" s="125" t="s">
        <v>23</v>
      </c>
      <c r="G413" s="126">
        <f>G411+G412</f>
        <v>63618</v>
      </c>
      <c r="H413" s="1183"/>
      <c r="I413" s="126">
        <f>I411+I412</f>
        <v>63618</v>
      </c>
      <c r="J413" s="126">
        <f>J411+J412</f>
        <v>0</v>
      </c>
      <c r="K413" s="126">
        <f>K411+K412</f>
        <v>63618</v>
      </c>
      <c r="L413" s="1184"/>
    </row>
    <row r="414" spans="1:12" s="113" customFormat="1" ht="6.6" hidden="1" customHeight="1">
      <c r="A414" s="1185" t="s">
        <v>407</v>
      </c>
      <c r="B414" s="1185"/>
      <c r="C414" s="1185"/>
      <c r="D414" s="1185"/>
      <c r="E414" s="1185"/>
      <c r="F414" s="1185"/>
      <c r="G414" s="1185"/>
      <c r="H414" s="1185"/>
      <c r="I414" s="1185"/>
      <c r="J414" s="1185"/>
      <c r="K414" s="1185"/>
      <c r="L414" s="1185"/>
    </row>
    <row r="415" spans="1:12" s="106" customFormat="1" ht="16.899999999999999" customHeight="1">
      <c r="A415" s="1186" t="s">
        <v>20</v>
      </c>
      <c r="B415" s="1186"/>
      <c r="C415" s="1186"/>
      <c r="D415" s="1186"/>
      <c r="E415" s="1187" t="s">
        <v>239</v>
      </c>
      <c r="F415" s="104" t="s">
        <v>21</v>
      </c>
      <c r="G415" s="1187" t="s">
        <v>239</v>
      </c>
      <c r="H415" s="1187" t="s">
        <v>239</v>
      </c>
      <c r="I415" s="105">
        <f t="shared" ref="I415:K416" si="23">I13</f>
        <v>408774585</v>
      </c>
      <c r="J415" s="105">
        <f t="shared" si="23"/>
        <v>150842236</v>
      </c>
      <c r="K415" s="105">
        <f t="shared" si="23"/>
        <v>257932349</v>
      </c>
      <c r="L415" s="1186" t="s">
        <v>239</v>
      </c>
    </row>
    <row r="416" spans="1:12" s="106" customFormat="1" ht="16.5">
      <c r="A416" s="1186"/>
      <c r="B416" s="1186"/>
      <c r="C416" s="1186"/>
      <c r="D416" s="1186"/>
      <c r="E416" s="1187"/>
      <c r="F416" s="104" t="s">
        <v>22</v>
      </c>
      <c r="G416" s="1187"/>
      <c r="H416" s="1187"/>
      <c r="I416" s="105">
        <f t="shared" si="23"/>
        <v>-98192603</v>
      </c>
      <c r="J416" s="105">
        <f t="shared" si="23"/>
        <v>-8336182</v>
      </c>
      <c r="K416" s="105">
        <f t="shared" si="23"/>
        <v>-89856421</v>
      </c>
      <c r="L416" s="1186"/>
    </row>
    <row r="417" spans="1:16" s="106" customFormat="1" ht="16.5">
      <c r="A417" s="1186"/>
      <c r="B417" s="1186"/>
      <c r="C417" s="1186"/>
      <c r="D417" s="1186"/>
      <c r="E417" s="1187"/>
      <c r="F417" s="104" t="s">
        <v>23</v>
      </c>
      <c r="G417" s="1187"/>
      <c r="H417" s="1187"/>
      <c r="I417" s="105">
        <f>I415+I416</f>
        <v>310581982</v>
      </c>
      <c r="J417" s="105">
        <f>J415+J416</f>
        <v>142506054</v>
      </c>
      <c r="K417" s="105">
        <f>K415+K416</f>
        <v>168075928</v>
      </c>
      <c r="L417" s="1186"/>
    </row>
    <row r="418" spans="1:16" ht="6" customHeight="1"/>
    <row r="419" spans="1:16" s="3" customFormat="1">
      <c r="A419" s="128" t="s">
        <v>5</v>
      </c>
      <c r="C419" s="129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</row>
    <row r="420" spans="1:16" s="3" customFormat="1">
      <c r="A420" s="128" t="s">
        <v>211</v>
      </c>
      <c r="C420" s="129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130"/>
      <c r="P420" s="70"/>
    </row>
    <row r="421" spans="1:16" s="3" customFormat="1">
      <c r="A421" s="128" t="s">
        <v>212</v>
      </c>
      <c r="C421" s="129"/>
      <c r="D421" s="70"/>
      <c r="E421" s="70"/>
      <c r="F421" s="70"/>
      <c r="G421" s="70"/>
      <c r="H421" s="70"/>
      <c r="I421" s="130"/>
      <c r="J421" s="130"/>
      <c r="K421" s="130"/>
      <c r="L421" s="70"/>
      <c r="M421" s="70"/>
      <c r="N421" s="70"/>
      <c r="O421" s="70"/>
      <c r="P421" s="70"/>
    </row>
    <row r="422" spans="1:16" s="3" customFormat="1">
      <c r="A422" s="128" t="s">
        <v>213</v>
      </c>
      <c r="C422" s="129"/>
      <c r="D422" s="70"/>
      <c r="E422" s="70"/>
      <c r="F422" s="70"/>
      <c r="G422" s="130"/>
      <c r="H422" s="70"/>
      <c r="I422" s="70"/>
      <c r="J422" s="70"/>
      <c r="K422" s="70"/>
      <c r="L422" s="70"/>
      <c r="M422" s="70"/>
      <c r="N422" s="70"/>
      <c r="O422" s="70"/>
      <c r="P422" s="70"/>
    </row>
  </sheetData>
  <sheetProtection password="C25B" sheet="1" selectLockedCells="1" selectUnlockedCells="1"/>
  <mergeCells count="880">
    <mergeCell ref="L190:L192"/>
    <mergeCell ref="A175:A177"/>
    <mergeCell ref="B175:B177"/>
    <mergeCell ref="C175:C177"/>
    <mergeCell ref="D175:D177"/>
    <mergeCell ref="E175:E177"/>
    <mergeCell ref="H175:H177"/>
    <mergeCell ref="L175:L177"/>
    <mergeCell ref="A190:A192"/>
    <mergeCell ref="B190:B192"/>
    <mergeCell ref="C190:C192"/>
    <mergeCell ref="D190:D192"/>
    <mergeCell ref="E190:E192"/>
    <mergeCell ref="H190:H192"/>
    <mergeCell ref="A5:L5"/>
    <mergeCell ref="A7:A10"/>
    <mergeCell ref="B7:B10"/>
    <mergeCell ref="C7:C10"/>
    <mergeCell ref="D7:D10"/>
    <mergeCell ref="E7:E10"/>
    <mergeCell ref="F7:F10"/>
    <mergeCell ref="G7:G10"/>
    <mergeCell ref="H7:H10"/>
    <mergeCell ref="I7:K7"/>
    <mergeCell ref="L7:L10"/>
    <mergeCell ref="I8:I10"/>
    <mergeCell ref="J8:K8"/>
    <mergeCell ref="J9:J10"/>
    <mergeCell ref="K9:K10"/>
    <mergeCell ref="A13:A15"/>
    <mergeCell ref="B13:B15"/>
    <mergeCell ref="C13:C15"/>
    <mergeCell ref="D13:D15"/>
    <mergeCell ref="E13:E15"/>
    <mergeCell ref="A19:A21"/>
    <mergeCell ref="B19:B21"/>
    <mergeCell ref="C19:C21"/>
    <mergeCell ref="D19:D21"/>
    <mergeCell ref="E19:E21"/>
    <mergeCell ref="H19:H21"/>
    <mergeCell ref="H22:H24"/>
    <mergeCell ref="L22:L24"/>
    <mergeCell ref="G13:G15"/>
    <mergeCell ref="H13:H15"/>
    <mergeCell ref="L13:L15"/>
    <mergeCell ref="B17:L17"/>
    <mergeCell ref="C25:C27"/>
    <mergeCell ref="D25:D27"/>
    <mergeCell ref="E25:E27"/>
    <mergeCell ref="H25:H27"/>
    <mergeCell ref="L19:L21"/>
    <mergeCell ref="A22:A24"/>
    <mergeCell ref="B22:B24"/>
    <mergeCell ref="C22:C24"/>
    <mergeCell ref="D22:D24"/>
    <mergeCell ref="E22:E24"/>
    <mergeCell ref="L25:L27"/>
    <mergeCell ref="A28:A30"/>
    <mergeCell ref="B28:B30"/>
    <mergeCell ref="C28:C30"/>
    <mergeCell ref="D28:D30"/>
    <mergeCell ref="E28:E30"/>
    <mergeCell ref="H28:H30"/>
    <mergeCell ref="L28:L30"/>
    <mergeCell ref="A25:A27"/>
    <mergeCell ref="B25:B27"/>
    <mergeCell ref="H34:H36"/>
    <mergeCell ref="L34:L36"/>
    <mergeCell ref="A31:A33"/>
    <mergeCell ref="B31:B33"/>
    <mergeCell ref="C31:C33"/>
    <mergeCell ref="D31:D33"/>
    <mergeCell ref="E31:E33"/>
    <mergeCell ref="H31:H33"/>
    <mergeCell ref="C37:C39"/>
    <mergeCell ref="D37:D39"/>
    <mergeCell ref="E37:E39"/>
    <mergeCell ref="H37:H39"/>
    <mergeCell ref="L31:L33"/>
    <mergeCell ref="A34:A36"/>
    <mergeCell ref="B34:B36"/>
    <mergeCell ref="C34:C36"/>
    <mergeCell ref="D34:D36"/>
    <mergeCell ref="E34:E36"/>
    <mergeCell ref="L37:L39"/>
    <mergeCell ref="A40:A42"/>
    <mergeCell ref="B40:B42"/>
    <mergeCell ref="C40:C42"/>
    <mergeCell ref="D40:D42"/>
    <mergeCell ref="E40:E42"/>
    <mergeCell ref="H40:H42"/>
    <mergeCell ref="L40:L42"/>
    <mergeCell ref="A37:A39"/>
    <mergeCell ref="B37:B39"/>
    <mergeCell ref="H46:H48"/>
    <mergeCell ref="L46:L48"/>
    <mergeCell ref="A43:A45"/>
    <mergeCell ref="B43:B45"/>
    <mergeCell ref="C43:C45"/>
    <mergeCell ref="D43:D45"/>
    <mergeCell ref="E43:E45"/>
    <mergeCell ref="H43:H45"/>
    <mergeCell ref="C49:C51"/>
    <mergeCell ref="D49:D51"/>
    <mergeCell ref="E49:E51"/>
    <mergeCell ref="H49:H51"/>
    <mergeCell ref="L43:L45"/>
    <mergeCell ref="A46:A48"/>
    <mergeCell ref="B46:B48"/>
    <mergeCell ref="C46:C48"/>
    <mergeCell ref="D46:D48"/>
    <mergeCell ref="E46:E48"/>
    <mergeCell ref="L49:L51"/>
    <mergeCell ref="A52:A54"/>
    <mergeCell ref="B52:B54"/>
    <mergeCell ref="C52:C54"/>
    <mergeCell ref="D52:D54"/>
    <mergeCell ref="E52:E54"/>
    <mergeCell ref="H52:H54"/>
    <mergeCell ref="L52:L54"/>
    <mergeCell ref="A49:A51"/>
    <mergeCell ref="B49:B51"/>
    <mergeCell ref="H58:H60"/>
    <mergeCell ref="L58:L60"/>
    <mergeCell ref="A55:A57"/>
    <mergeCell ref="B55:B57"/>
    <mergeCell ref="C55:C57"/>
    <mergeCell ref="D55:D57"/>
    <mergeCell ref="E55:E57"/>
    <mergeCell ref="H55:H57"/>
    <mergeCell ref="C61:C63"/>
    <mergeCell ref="D61:D63"/>
    <mergeCell ref="E61:E63"/>
    <mergeCell ref="H61:H63"/>
    <mergeCell ref="L55:L57"/>
    <mergeCell ref="A58:A60"/>
    <mergeCell ref="B58:B60"/>
    <mergeCell ref="C58:C60"/>
    <mergeCell ref="D58:D60"/>
    <mergeCell ref="E58:E60"/>
    <mergeCell ref="L61:L63"/>
    <mergeCell ref="A64:A66"/>
    <mergeCell ref="B64:B66"/>
    <mergeCell ref="C64:C66"/>
    <mergeCell ref="D64:D66"/>
    <mergeCell ref="E64:E66"/>
    <mergeCell ref="H64:H66"/>
    <mergeCell ref="L64:L66"/>
    <mergeCell ref="A61:A63"/>
    <mergeCell ref="B61:B63"/>
    <mergeCell ref="H70:H72"/>
    <mergeCell ref="L70:L72"/>
    <mergeCell ref="A67:A69"/>
    <mergeCell ref="B67:B69"/>
    <mergeCell ref="C67:C69"/>
    <mergeCell ref="D67:D69"/>
    <mergeCell ref="E67:E69"/>
    <mergeCell ref="H67:H69"/>
    <mergeCell ref="C73:C75"/>
    <mergeCell ref="D73:D75"/>
    <mergeCell ref="E73:E75"/>
    <mergeCell ref="H73:H75"/>
    <mergeCell ref="L67:L69"/>
    <mergeCell ref="A70:A72"/>
    <mergeCell ref="B70:B72"/>
    <mergeCell ref="C70:C72"/>
    <mergeCell ref="D70:D72"/>
    <mergeCell ref="E70:E72"/>
    <mergeCell ref="L73:L75"/>
    <mergeCell ref="A76:A78"/>
    <mergeCell ref="B76:B78"/>
    <mergeCell ref="C76:C78"/>
    <mergeCell ref="D76:D78"/>
    <mergeCell ref="E76:E78"/>
    <mergeCell ref="H76:H78"/>
    <mergeCell ref="L76:L78"/>
    <mergeCell ref="A73:A75"/>
    <mergeCell ref="B73:B75"/>
    <mergeCell ref="H82:H84"/>
    <mergeCell ref="L82:L84"/>
    <mergeCell ref="A79:A81"/>
    <mergeCell ref="B79:B81"/>
    <mergeCell ref="C79:C81"/>
    <mergeCell ref="D79:D81"/>
    <mergeCell ref="E79:E81"/>
    <mergeCell ref="H79:H81"/>
    <mergeCell ref="C85:C87"/>
    <mergeCell ref="D85:D87"/>
    <mergeCell ref="E85:E87"/>
    <mergeCell ref="H85:H87"/>
    <mergeCell ref="L79:L81"/>
    <mergeCell ref="A82:A84"/>
    <mergeCell ref="B82:B84"/>
    <mergeCell ref="C82:C84"/>
    <mergeCell ref="D82:D84"/>
    <mergeCell ref="E82:E84"/>
    <mergeCell ref="L85:L87"/>
    <mergeCell ref="A88:A90"/>
    <mergeCell ref="B88:B90"/>
    <mergeCell ref="C88:C90"/>
    <mergeCell ref="D88:D90"/>
    <mergeCell ref="E88:E90"/>
    <mergeCell ref="H88:H90"/>
    <mergeCell ref="L88:L90"/>
    <mergeCell ref="A85:A87"/>
    <mergeCell ref="B85:B87"/>
    <mergeCell ref="H94:H96"/>
    <mergeCell ref="L94:L96"/>
    <mergeCell ref="A91:A93"/>
    <mergeCell ref="B91:B93"/>
    <mergeCell ref="C91:C93"/>
    <mergeCell ref="D91:D93"/>
    <mergeCell ref="E91:E93"/>
    <mergeCell ref="H91:H93"/>
    <mergeCell ref="C97:C99"/>
    <mergeCell ref="D97:D99"/>
    <mergeCell ref="E97:E99"/>
    <mergeCell ref="H97:H99"/>
    <mergeCell ref="L91:L93"/>
    <mergeCell ref="A94:A96"/>
    <mergeCell ref="B94:B96"/>
    <mergeCell ref="C94:C96"/>
    <mergeCell ref="D94:D96"/>
    <mergeCell ref="E94:E96"/>
    <mergeCell ref="L97:L99"/>
    <mergeCell ref="A100:A102"/>
    <mergeCell ref="B100:B102"/>
    <mergeCell ref="C100:C102"/>
    <mergeCell ref="D100:D102"/>
    <mergeCell ref="E100:E102"/>
    <mergeCell ref="H100:H102"/>
    <mergeCell ref="L100:L102"/>
    <mergeCell ref="A97:A99"/>
    <mergeCell ref="B97:B99"/>
    <mergeCell ref="H106:H108"/>
    <mergeCell ref="L106:L108"/>
    <mergeCell ref="A103:A105"/>
    <mergeCell ref="B103:B105"/>
    <mergeCell ref="C103:C105"/>
    <mergeCell ref="D103:D105"/>
    <mergeCell ref="E103:E105"/>
    <mergeCell ref="H103:H105"/>
    <mergeCell ref="C109:C111"/>
    <mergeCell ref="D109:D111"/>
    <mergeCell ref="E109:E111"/>
    <mergeCell ref="H109:H111"/>
    <mergeCell ref="L103:L105"/>
    <mergeCell ref="A106:A108"/>
    <mergeCell ref="B106:B108"/>
    <mergeCell ref="C106:C108"/>
    <mergeCell ref="D106:D108"/>
    <mergeCell ref="E106:E108"/>
    <mergeCell ref="L109:L111"/>
    <mergeCell ref="A112:A114"/>
    <mergeCell ref="B112:B114"/>
    <mergeCell ref="C112:C114"/>
    <mergeCell ref="D112:D114"/>
    <mergeCell ref="E112:E114"/>
    <mergeCell ref="H112:H114"/>
    <mergeCell ref="L112:L114"/>
    <mergeCell ref="A109:A111"/>
    <mergeCell ref="B109:B111"/>
    <mergeCell ref="H118:H120"/>
    <mergeCell ref="L118:L120"/>
    <mergeCell ref="A115:A117"/>
    <mergeCell ref="B115:B117"/>
    <mergeCell ref="C115:C117"/>
    <mergeCell ref="D115:D117"/>
    <mergeCell ref="E115:E117"/>
    <mergeCell ref="H115:H117"/>
    <mergeCell ref="C121:C123"/>
    <mergeCell ref="D121:D123"/>
    <mergeCell ref="E121:E123"/>
    <mergeCell ref="H121:H123"/>
    <mergeCell ref="L115:L117"/>
    <mergeCell ref="A118:A120"/>
    <mergeCell ref="B118:B120"/>
    <mergeCell ref="C118:C120"/>
    <mergeCell ref="D118:D120"/>
    <mergeCell ref="E118:E120"/>
    <mergeCell ref="L121:L123"/>
    <mergeCell ref="A124:A126"/>
    <mergeCell ref="B124:B126"/>
    <mergeCell ref="C124:C126"/>
    <mergeCell ref="D124:D126"/>
    <mergeCell ref="E124:E126"/>
    <mergeCell ref="H124:H126"/>
    <mergeCell ref="L124:L126"/>
    <mergeCell ref="A121:A123"/>
    <mergeCell ref="B121:B123"/>
    <mergeCell ref="H130:H132"/>
    <mergeCell ref="L130:L132"/>
    <mergeCell ref="A127:A129"/>
    <mergeCell ref="B127:B129"/>
    <mergeCell ref="C127:C129"/>
    <mergeCell ref="D127:D129"/>
    <mergeCell ref="E127:E129"/>
    <mergeCell ref="H127:H129"/>
    <mergeCell ref="C133:C135"/>
    <mergeCell ref="D133:D135"/>
    <mergeCell ref="E133:E135"/>
    <mergeCell ref="H133:H135"/>
    <mergeCell ref="L127:L129"/>
    <mergeCell ref="A130:A132"/>
    <mergeCell ref="B130:B132"/>
    <mergeCell ref="C130:C132"/>
    <mergeCell ref="D130:D132"/>
    <mergeCell ref="E130:E132"/>
    <mergeCell ref="L133:L135"/>
    <mergeCell ref="A136:A138"/>
    <mergeCell ref="B136:B138"/>
    <mergeCell ref="C136:C138"/>
    <mergeCell ref="D136:D138"/>
    <mergeCell ref="E136:E138"/>
    <mergeCell ref="H136:H138"/>
    <mergeCell ref="L136:L138"/>
    <mergeCell ref="A133:A135"/>
    <mergeCell ref="B133:B135"/>
    <mergeCell ref="H142:H144"/>
    <mergeCell ref="L142:L144"/>
    <mergeCell ref="A139:A141"/>
    <mergeCell ref="B139:B141"/>
    <mergeCell ref="C139:C141"/>
    <mergeCell ref="D139:D141"/>
    <mergeCell ref="E139:E141"/>
    <mergeCell ref="H139:H141"/>
    <mergeCell ref="C145:C147"/>
    <mergeCell ref="D145:D147"/>
    <mergeCell ref="E145:E147"/>
    <mergeCell ref="H145:H147"/>
    <mergeCell ref="L139:L141"/>
    <mergeCell ref="A142:A144"/>
    <mergeCell ref="B142:B144"/>
    <mergeCell ref="C142:C144"/>
    <mergeCell ref="D142:D144"/>
    <mergeCell ref="E142:E144"/>
    <mergeCell ref="L145:L147"/>
    <mergeCell ref="A148:A150"/>
    <mergeCell ref="B148:B150"/>
    <mergeCell ref="C148:C150"/>
    <mergeCell ref="D148:D150"/>
    <mergeCell ref="E148:E150"/>
    <mergeCell ref="H148:H150"/>
    <mergeCell ref="L148:L150"/>
    <mergeCell ref="A145:A147"/>
    <mergeCell ref="B145:B147"/>
    <mergeCell ref="H154:H156"/>
    <mergeCell ref="L154:L156"/>
    <mergeCell ref="A151:A153"/>
    <mergeCell ref="B151:B153"/>
    <mergeCell ref="C151:C153"/>
    <mergeCell ref="D151:D153"/>
    <mergeCell ref="E151:E153"/>
    <mergeCell ref="H151:H153"/>
    <mergeCell ref="C157:C159"/>
    <mergeCell ref="D157:D159"/>
    <mergeCell ref="E157:E159"/>
    <mergeCell ref="H157:H159"/>
    <mergeCell ref="L151:L153"/>
    <mergeCell ref="A154:A156"/>
    <mergeCell ref="B154:B156"/>
    <mergeCell ref="C154:C156"/>
    <mergeCell ref="D154:D156"/>
    <mergeCell ref="E154:E156"/>
    <mergeCell ref="L157:L159"/>
    <mergeCell ref="A160:A162"/>
    <mergeCell ref="B160:B162"/>
    <mergeCell ref="C160:C162"/>
    <mergeCell ref="D160:D162"/>
    <mergeCell ref="E160:E162"/>
    <mergeCell ref="H160:H162"/>
    <mergeCell ref="L160:L162"/>
    <mergeCell ref="A157:A159"/>
    <mergeCell ref="B157:B159"/>
    <mergeCell ref="H166:H168"/>
    <mergeCell ref="L166:L168"/>
    <mergeCell ref="A163:A165"/>
    <mergeCell ref="B163:B165"/>
    <mergeCell ref="C163:C165"/>
    <mergeCell ref="D163:D165"/>
    <mergeCell ref="E163:E165"/>
    <mergeCell ref="H163:H165"/>
    <mergeCell ref="C169:C171"/>
    <mergeCell ref="D169:D171"/>
    <mergeCell ref="E169:E171"/>
    <mergeCell ref="H169:H171"/>
    <mergeCell ref="L163:L165"/>
    <mergeCell ref="A166:A168"/>
    <mergeCell ref="B166:B168"/>
    <mergeCell ref="C166:C168"/>
    <mergeCell ref="D166:D168"/>
    <mergeCell ref="E166:E168"/>
    <mergeCell ref="L169:L171"/>
    <mergeCell ref="A172:A174"/>
    <mergeCell ref="B172:B174"/>
    <mergeCell ref="C172:C174"/>
    <mergeCell ref="D172:D174"/>
    <mergeCell ref="E172:E174"/>
    <mergeCell ref="H172:H174"/>
    <mergeCell ref="L172:L174"/>
    <mergeCell ref="A169:A171"/>
    <mergeCell ref="B169:B171"/>
    <mergeCell ref="H181:H183"/>
    <mergeCell ref="L181:L183"/>
    <mergeCell ref="A178:A180"/>
    <mergeCell ref="B178:B180"/>
    <mergeCell ref="C178:C180"/>
    <mergeCell ref="D178:D180"/>
    <mergeCell ref="E178:E180"/>
    <mergeCell ref="H178:H180"/>
    <mergeCell ref="C184:C186"/>
    <mergeCell ref="D184:D186"/>
    <mergeCell ref="E184:E186"/>
    <mergeCell ref="H184:H186"/>
    <mergeCell ref="L178:L180"/>
    <mergeCell ref="A181:A183"/>
    <mergeCell ref="B181:B183"/>
    <mergeCell ref="C181:C183"/>
    <mergeCell ref="D181:D183"/>
    <mergeCell ref="E181:E183"/>
    <mergeCell ref="L184:L186"/>
    <mergeCell ref="A187:A189"/>
    <mergeCell ref="B187:B189"/>
    <mergeCell ref="C187:C189"/>
    <mergeCell ref="D187:D189"/>
    <mergeCell ref="E187:E189"/>
    <mergeCell ref="H187:H189"/>
    <mergeCell ref="L187:L189"/>
    <mergeCell ref="A184:A186"/>
    <mergeCell ref="B184:B186"/>
    <mergeCell ref="H196:H198"/>
    <mergeCell ref="L196:L198"/>
    <mergeCell ref="A193:A195"/>
    <mergeCell ref="B193:B195"/>
    <mergeCell ref="C193:C195"/>
    <mergeCell ref="D193:D195"/>
    <mergeCell ref="E193:E195"/>
    <mergeCell ref="H193:H195"/>
    <mergeCell ref="C199:C201"/>
    <mergeCell ref="D199:D201"/>
    <mergeCell ref="E199:E201"/>
    <mergeCell ref="H199:H201"/>
    <mergeCell ref="L193:L195"/>
    <mergeCell ref="A196:A198"/>
    <mergeCell ref="B196:B198"/>
    <mergeCell ref="C196:C198"/>
    <mergeCell ref="D196:D198"/>
    <mergeCell ref="E196:E198"/>
    <mergeCell ref="L199:L201"/>
    <mergeCell ref="A202:A204"/>
    <mergeCell ref="B202:B204"/>
    <mergeCell ref="C202:C204"/>
    <mergeCell ref="D202:D204"/>
    <mergeCell ref="E202:E204"/>
    <mergeCell ref="H202:H204"/>
    <mergeCell ref="L202:L204"/>
    <mergeCell ref="A199:A201"/>
    <mergeCell ref="B199:B201"/>
    <mergeCell ref="H208:H210"/>
    <mergeCell ref="L208:L210"/>
    <mergeCell ref="A205:A207"/>
    <mergeCell ref="B205:B207"/>
    <mergeCell ref="C205:C207"/>
    <mergeCell ref="D205:D207"/>
    <mergeCell ref="E205:E207"/>
    <mergeCell ref="H205:H207"/>
    <mergeCell ref="C211:C213"/>
    <mergeCell ref="D211:D213"/>
    <mergeCell ref="E211:E213"/>
    <mergeCell ref="H211:H213"/>
    <mergeCell ref="L205:L207"/>
    <mergeCell ref="A208:A210"/>
    <mergeCell ref="B208:B210"/>
    <mergeCell ref="C208:C210"/>
    <mergeCell ref="D208:D210"/>
    <mergeCell ref="E208:E210"/>
    <mergeCell ref="L211:L213"/>
    <mergeCell ref="A214:A216"/>
    <mergeCell ref="B214:B216"/>
    <mergeCell ref="C214:C216"/>
    <mergeCell ref="D214:D216"/>
    <mergeCell ref="E214:E216"/>
    <mergeCell ref="H214:H216"/>
    <mergeCell ref="L214:L216"/>
    <mergeCell ref="A211:A213"/>
    <mergeCell ref="B211:B213"/>
    <mergeCell ref="H220:H222"/>
    <mergeCell ref="L220:L222"/>
    <mergeCell ref="A217:A219"/>
    <mergeCell ref="B217:B219"/>
    <mergeCell ref="C217:C219"/>
    <mergeCell ref="D217:D219"/>
    <mergeCell ref="E217:E219"/>
    <mergeCell ref="H217:H219"/>
    <mergeCell ref="C223:C225"/>
    <mergeCell ref="D223:D225"/>
    <mergeCell ref="E223:E225"/>
    <mergeCell ref="H223:H225"/>
    <mergeCell ref="L217:L219"/>
    <mergeCell ref="A220:A222"/>
    <mergeCell ref="B220:B222"/>
    <mergeCell ref="C220:C222"/>
    <mergeCell ref="D220:D222"/>
    <mergeCell ref="E220:E222"/>
    <mergeCell ref="L223:L225"/>
    <mergeCell ref="A226:A228"/>
    <mergeCell ref="B226:B228"/>
    <mergeCell ref="C226:C228"/>
    <mergeCell ref="D226:D228"/>
    <mergeCell ref="E226:E228"/>
    <mergeCell ref="H226:H228"/>
    <mergeCell ref="L226:L228"/>
    <mergeCell ref="A223:A225"/>
    <mergeCell ref="B223:B225"/>
    <mergeCell ref="H232:H234"/>
    <mergeCell ref="L232:L234"/>
    <mergeCell ref="A229:A231"/>
    <mergeCell ref="B229:B231"/>
    <mergeCell ref="C229:C231"/>
    <mergeCell ref="D229:D231"/>
    <mergeCell ref="E229:E231"/>
    <mergeCell ref="H229:H231"/>
    <mergeCell ref="C235:C237"/>
    <mergeCell ref="D235:D237"/>
    <mergeCell ref="E235:E237"/>
    <mergeCell ref="H235:H237"/>
    <mergeCell ref="L229:L231"/>
    <mergeCell ref="A232:A234"/>
    <mergeCell ref="B232:B234"/>
    <mergeCell ref="C232:C234"/>
    <mergeCell ref="D232:D234"/>
    <mergeCell ref="E232:E234"/>
    <mergeCell ref="L235:L237"/>
    <mergeCell ref="A238:A240"/>
    <mergeCell ref="B238:B240"/>
    <mergeCell ref="C238:C240"/>
    <mergeCell ref="D238:D240"/>
    <mergeCell ref="E238:E240"/>
    <mergeCell ref="H238:H240"/>
    <mergeCell ref="L238:L240"/>
    <mergeCell ref="A235:A237"/>
    <mergeCell ref="B235:B237"/>
    <mergeCell ref="H244:H246"/>
    <mergeCell ref="L244:L246"/>
    <mergeCell ref="A241:A243"/>
    <mergeCell ref="B241:B243"/>
    <mergeCell ref="C241:C243"/>
    <mergeCell ref="D241:D243"/>
    <mergeCell ref="E241:E243"/>
    <mergeCell ref="H241:H243"/>
    <mergeCell ref="C247:C249"/>
    <mergeCell ref="D247:D249"/>
    <mergeCell ref="E247:E249"/>
    <mergeCell ref="H247:H249"/>
    <mergeCell ref="L241:L243"/>
    <mergeCell ref="A244:A246"/>
    <mergeCell ref="B244:B246"/>
    <mergeCell ref="C244:C246"/>
    <mergeCell ref="D244:D246"/>
    <mergeCell ref="E244:E246"/>
    <mergeCell ref="L247:L249"/>
    <mergeCell ref="A250:A252"/>
    <mergeCell ref="B250:B252"/>
    <mergeCell ref="C250:C252"/>
    <mergeCell ref="D250:D252"/>
    <mergeCell ref="E250:E252"/>
    <mergeCell ref="H250:H252"/>
    <mergeCell ref="L250:L252"/>
    <mergeCell ref="A247:A249"/>
    <mergeCell ref="B247:B249"/>
    <mergeCell ref="A254:D256"/>
    <mergeCell ref="E254:E256"/>
    <mergeCell ref="H254:H256"/>
    <mergeCell ref="L254:L256"/>
    <mergeCell ref="A257:L257"/>
    <mergeCell ref="B258:L258"/>
    <mergeCell ref="A260:A262"/>
    <mergeCell ref="B260:B262"/>
    <mergeCell ref="C260:C262"/>
    <mergeCell ref="D260:D262"/>
    <mergeCell ref="E260:E262"/>
    <mergeCell ref="L260:L262"/>
    <mergeCell ref="A263:A265"/>
    <mergeCell ref="B263:B265"/>
    <mergeCell ref="C263:C265"/>
    <mergeCell ref="D263:D265"/>
    <mergeCell ref="E263:E265"/>
    <mergeCell ref="L263:L265"/>
    <mergeCell ref="A266:A268"/>
    <mergeCell ref="B266:B268"/>
    <mergeCell ref="C266:C268"/>
    <mergeCell ref="D266:D268"/>
    <mergeCell ref="E266:E268"/>
    <mergeCell ref="L266:L268"/>
    <mergeCell ref="A269:A271"/>
    <mergeCell ref="B269:B271"/>
    <mergeCell ref="C269:C271"/>
    <mergeCell ref="D269:D271"/>
    <mergeCell ref="E269:E271"/>
    <mergeCell ref="L269:L271"/>
    <mergeCell ref="A272:A274"/>
    <mergeCell ref="B272:B274"/>
    <mergeCell ref="C272:C274"/>
    <mergeCell ref="D272:D274"/>
    <mergeCell ref="E272:E274"/>
    <mergeCell ref="L272:L274"/>
    <mergeCell ref="A275:A277"/>
    <mergeCell ref="B275:B277"/>
    <mergeCell ref="C275:C277"/>
    <mergeCell ref="D275:D277"/>
    <mergeCell ref="E275:E277"/>
    <mergeCell ref="L275:L277"/>
    <mergeCell ref="A278:A280"/>
    <mergeCell ref="B278:B280"/>
    <mergeCell ref="C278:C280"/>
    <mergeCell ref="D278:D280"/>
    <mergeCell ref="E278:E280"/>
    <mergeCell ref="L278:L280"/>
    <mergeCell ref="A281:A283"/>
    <mergeCell ref="B281:B283"/>
    <mergeCell ref="C281:C283"/>
    <mergeCell ref="D281:D283"/>
    <mergeCell ref="E281:E283"/>
    <mergeCell ref="L281:L283"/>
    <mergeCell ref="A284:A286"/>
    <mergeCell ref="B284:B286"/>
    <mergeCell ref="C284:C286"/>
    <mergeCell ref="D284:D286"/>
    <mergeCell ref="E284:E286"/>
    <mergeCell ref="L284:L286"/>
    <mergeCell ref="A287:A289"/>
    <mergeCell ref="B287:B289"/>
    <mergeCell ref="C287:C289"/>
    <mergeCell ref="D287:D289"/>
    <mergeCell ref="E287:E289"/>
    <mergeCell ref="L287:L289"/>
    <mergeCell ref="A290:A292"/>
    <mergeCell ref="B290:B292"/>
    <mergeCell ref="C290:C292"/>
    <mergeCell ref="D290:D292"/>
    <mergeCell ref="E290:E292"/>
    <mergeCell ref="L290:L292"/>
    <mergeCell ref="A293:A295"/>
    <mergeCell ref="B293:B295"/>
    <mergeCell ref="C293:C295"/>
    <mergeCell ref="D293:D295"/>
    <mergeCell ref="E293:E295"/>
    <mergeCell ref="L293:L295"/>
    <mergeCell ref="A296:A298"/>
    <mergeCell ref="B296:B298"/>
    <mergeCell ref="C296:C298"/>
    <mergeCell ref="D296:D298"/>
    <mergeCell ref="E296:E298"/>
    <mergeCell ref="L296:L298"/>
    <mergeCell ref="A299:A301"/>
    <mergeCell ref="B299:B301"/>
    <mergeCell ref="C299:C301"/>
    <mergeCell ref="D299:D301"/>
    <mergeCell ref="E299:E301"/>
    <mergeCell ref="L299:L301"/>
    <mergeCell ref="A302:A304"/>
    <mergeCell ref="B302:B304"/>
    <mergeCell ref="C302:C304"/>
    <mergeCell ref="D302:D304"/>
    <mergeCell ref="E302:E304"/>
    <mergeCell ref="L302:L304"/>
    <mergeCell ref="A305:A307"/>
    <mergeCell ref="B305:B307"/>
    <mergeCell ref="C305:C307"/>
    <mergeCell ref="D305:D307"/>
    <mergeCell ref="E305:E307"/>
    <mergeCell ref="L305:L307"/>
    <mergeCell ref="A308:A310"/>
    <mergeCell ref="B308:B310"/>
    <mergeCell ref="C308:C310"/>
    <mergeCell ref="D308:D310"/>
    <mergeCell ref="E308:E310"/>
    <mergeCell ref="L308:L310"/>
    <mergeCell ref="A311:A313"/>
    <mergeCell ref="B311:B313"/>
    <mergeCell ref="C311:C313"/>
    <mergeCell ref="D311:D313"/>
    <mergeCell ref="E311:E313"/>
    <mergeCell ref="L311:L313"/>
    <mergeCell ref="A314:A316"/>
    <mergeCell ref="B314:B316"/>
    <mergeCell ref="C314:C316"/>
    <mergeCell ref="D314:D316"/>
    <mergeCell ref="E314:E316"/>
    <mergeCell ref="L314:L316"/>
    <mergeCell ref="A317:A319"/>
    <mergeCell ref="B317:B319"/>
    <mergeCell ref="C317:C319"/>
    <mergeCell ref="D317:D319"/>
    <mergeCell ref="E317:E319"/>
    <mergeCell ref="L317:L319"/>
    <mergeCell ref="A320:A322"/>
    <mergeCell ref="B320:B322"/>
    <mergeCell ref="C320:C322"/>
    <mergeCell ref="D320:D322"/>
    <mergeCell ref="E320:E322"/>
    <mergeCell ref="L320:L322"/>
    <mergeCell ref="A323:A325"/>
    <mergeCell ref="B323:B325"/>
    <mergeCell ref="C323:C325"/>
    <mergeCell ref="D323:D325"/>
    <mergeCell ref="E323:E325"/>
    <mergeCell ref="L323:L325"/>
    <mergeCell ref="A326:A328"/>
    <mergeCell ref="B326:B328"/>
    <mergeCell ref="C326:C328"/>
    <mergeCell ref="D326:D328"/>
    <mergeCell ref="E326:E328"/>
    <mergeCell ref="L326:L328"/>
    <mergeCell ref="A329:A331"/>
    <mergeCell ref="B329:B331"/>
    <mergeCell ref="C329:C331"/>
    <mergeCell ref="D329:D331"/>
    <mergeCell ref="E329:E331"/>
    <mergeCell ref="L329:L331"/>
    <mergeCell ref="A332:A334"/>
    <mergeCell ref="B332:B334"/>
    <mergeCell ref="C332:C334"/>
    <mergeCell ref="D332:D334"/>
    <mergeCell ref="E332:E334"/>
    <mergeCell ref="L332:L334"/>
    <mergeCell ref="A335:A337"/>
    <mergeCell ref="B335:B337"/>
    <mergeCell ref="C335:C337"/>
    <mergeCell ref="D335:D337"/>
    <mergeCell ref="E335:E337"/>
    <mergeCell ref="L335:L337"/>
    <mergeCell ref="A338:A340"/>
    <mergeCell ref="B338:B340"/>
    <mergeCell ref="C338:C340"/>
    <mergeCell ref="D338:D340"/>
    <mergeCell ref="E338:E340"/>
    <mergeCell ref="L338:L340"/>
    <mergeCell ref="A341:A343"/>
    <mergeCell ref="B341:B343"/>
    <mergeCell ref="C341:C343"/>
    <mergeCell ref="D341:D343"/>
    <mergeCell ref="E341:E343"/>
    <mergeCell ref="L341:L343"/>
    <mergeCell ref="A344:A346"/>
    <mergeCell ref="B344:B346"/>
    <mergeCell ref="C344:C346"/>
    <mergeCell ref="D344:D346"/>
    <mergeCell ref="E344:E346"/>
    <mergeCell ref="L344:L346"/>
    <mergeCell ref="A347:A349"/>
    <mergeCell ref="B347:B349"/>
    <mergeCell ref="C347:C349"/>
    <mergeCell ref="D347:D349"/>
    <mergeCell ref="E347:E349"/>
    <mergeCell ref="L347:L349"/>
    <mergeCell ref="A350:A352"/>
    <mergeCell ref="B350:B352"/>
    <mergeCell ref="C350:C352"/>
    <mergeCell ref="D350:D352"/>
    <mergeCell ref="E350:E352"/>
    <mergeCell ref="L350:L352"/>
    <mergeCell ref="A353:A355"/>
    <mergeCell ref="B353:B355"/>
    <mergeCell ref="C353:C355"/>
    <mergeCell ref="D353:D355"/>
    <mergeCell ref="E353:E355"/>
    <mergeCell ref="L353:L355"/>
    <mergeCell ref="A356:A358"/>
    <mergeCell ref="B356:B358"/>
    <mergeCell ref="C356:C358"/>
    <mergeCell ref="D356:D358"/>
    <mergeCell ref="E356:E358"/>
    <mergeCell ref="L356:L358"/>
    <mergeCell ref="A359:A361"/>
    <mergeCell ref="B359:B361"/>
    <mergeCell ref="C359:C361"/>
    <mergeCell ref="D359:D361"/>
    <mergeCell ref="E359:E361"/>
    <mergeCell ref="L359:L361"/>
    <mergeCell ref="A362:A364"/>
    <mergeCell ref="B362:B364"/>
    <mergeCell ref="C362:C364"/>
    <mergeCell ref="D362:D364"/>
    <mergeCell ref="E362:E364"/>
    <mergeCell ref="L362:L364"/>
    <mergeCell ref="A365:A367"/>
    <mergeCell ref="B365:B367"/>
    <mergeCell ref="C365:C367"/>
    <mergeCell ref="D365:D367"/>
    <mergeCell ref="E365:E367"/>
    <mergeCell ref="L365:L367"/>
    <mergeCell ref="A368:A370"/>
    <mergeCell ref="B368:B370"/>
    <mergeCell ref="C368:C370"/>
    <mergeCell ref="D368:D370"/>
    <mergeCell ref="E368:E370"/>
    <mergeCell ref="L368:L370"/>
    <mergeCell ref="A371:A373"/>
    <mergeCell ref="B371:B373"/>
    <mergeCell ref="C371:C373"/>
    <mergeCell ref="D371:D373"/>
    <mergeCell ref="E371:E373"/>
    <mergeCell ref="L371:L373"/>
    <mergeCell ref="A374:A376"/>
    <mergeCell ref="B374:B376"/>
    <mergeCell ref="C374:C376"/>
    <mergeCell ref="D374:D376"/>
    <mergeCell ref="E374:E376"/>
    <mergeCell ref="L374:L376"/>
    <mergeCell ref="A377:A379"/>
    <mergeCell ref="B377:B379"/>
    <mergeCell ref="C377:C379"/>
    <mergeCell ref="D377:D379"/>
    <mergeCell ref="E377:E379"/>
    <mergeCell ref="L377:L379"/>
    <mergeCell ref="A380:A382"/>
    <mergeCell ref="B380:B382"/>
    <mergeCell ref="C380:C382"/>
    <mergeCell ref="D380:D382"/>
    <mergeCell ref="E380:E382"/>
    <mergeCell ref="L380:L382"/>
    <mergeCell ref="A383:A385"/>
    <mergeCell ref="B383:B385"/>
    <mergeCell ref="C383:C385"/>
    <mergeCell ref="D383:D385"/>
    <mergeCell ref="E383:E385"/>
    <mergeCell ref="L383:L385"/>
    <mergeCell ref="A386:A388"/>
    <mergeCell ref="B386:B388"/>
    <mergeCell ref="C386:C388"/>
    <mergeCell ref="D386:D388"/>
    <mergeCell ref="E386:E388"/>
    <mergeCell ref="L386:L388"/>
    <mergeCell ref="A389:A391"/>
    <mergeCell ref="B389:B391"/>
    <mergeCell ref="C389:C391"/>
    <mergeCell ref="D389:D391"/>
    <mergeCell ref="E389:E391"/>
    <mergeCell ref="L389:L391"/>
    <mergeCell ref="A393:D395"/>
    <mergeCell ref="E393:E395"/>
    <mergeCell ref="L393:L395"/>
    <mergeCell ref="A396:L396"/>
    <mergeCell ref="B397:L397"/>
    <mergeCell ref="A398:L398"/>
    <mergeCell ref="A399:A401"/>
    <mergeCell ref="B399:B401"/>
    <mergeCell ref="C399:C401"/>
    <mergeCell ref="D399:D401"/>
    <mergeCell ref="E399:E401"/>
    <mergeCell ref="G399:G401"/>
    <mergeCell ref="H399:H401"/>
    <mergeCell ref="L399:L401"/>
    <mergeCell ref="A402:L402"/>
    <mergeCell ref="B403:L403"/>
    <mergeCell ref="A404:L404"/>
    <mergeCell ref="A405:A407"/>
    <mergeCell ref="B405:B407"/>
    <mergeCell ref="C405:C407"/>
    <mergeCell ref="D405:D407"/>
    <mergeCell ref="E405:E407"/>
    <mergeCell ref="G405:G407"/>
    <mergeCell ref="H405:H407"/>
    <mergeCell ref="L405:L407"/>
    <mergeCell ref="B409:L409"/>
    <mergeCell ref="A410:L410"/>
    <mergeCell ref="A411:A413"/>
    <mergeCell ref="B411:B413"/>
    <mergeCell ref="C411:C413"/>
    <mergeCell ref="D411:D413"/>
    <mergeCell ref="E411:E413"/>
    <mergeCell ref="H411:H413"/>
    <mergeCell ref="L411:L413"/>
    <mergeCell ref="A414:L414"/>
    <mergeCell ref="A415:D417"/>
    <mergeCell ref="E415:E417"/>
    <mergeCell ref="G415:G417"/>
    <mergeCell ref="H415:H417"/>
    <mergeCell ref="L415:L417"/>
  </mergeCells>
  <printOptions horizontalCentered="1"/>
  <pageMargins left="0.70866141732283472" right="0.70866141732283472" top="0.98425196850393704" bottom="0.74803149606299213" header="0.51181102362204722" footer="0.51181102362204722"/>
  <pageSetup paperSize="9" scale="75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3"/>
  <sheetViews>
    <sheetView view="pageBreakPreview" topLeftCell="A596" zoomScaleNormal="75" zoomScaleSheetLayoutView="100" workbookViewId="0">
      <selection activeCell="L1" sqref="A1:N753"/>
    </sheetView>
  </sheetViews>
  <sheetFormatPr defaultColWidth="8" defaultRowHeight="15"/>
  <cols>
    <col min="1" max="1" width="2.25" style="891" customWidth="1"/>
    <col min="2" max="2" width="3.375" style="891" customWidth="1"/>
    <col min="3" max="3" width="3.5" style="891" customWidth="1"/>
    <col min="4" max="4" width="5.375" style="891" customWidth="1"/>
    <col min="5" max="5" width="9.625" style="893" customWidth="1"/>
    <col min="6" max="6" width="49.375" style="884" customWidth="1"/>
    <col min="7" max="7" width="2.375" style="885" customWidth="1"/>
    <col min="8" max="8" width="12.375" style="886" customWidth="1"/>
    <col min="9" max="9" width="12.625" style="887" customWidth="1"/>
    <col min="10" max="14" width="12.25" style="887" customWidth="1"/>
    <col min="15" max="16384" width="8" style="894"/>
  </cols>
  <sheetData>
    <row r="1" spans="1:14" s="721" customFormat="1" ht="16.5" customHeight="1">
      <c r="D1" s="722"/>
      <c r="E1" s="723"/>
      <c r="F1" s="724"/>
      <c r="G1" s="723"/>
      <c r="H1" s="725"/>
      <c r="I1" s="724"/>
      <c r="J1" s="724"/>
      <c r="K1" s="724"/>
      <c r="L1" s="1209" t="s">
        <v>1045</v>
      </c>
      <c r="M1" s="1209"/>
      <c r="N1" s="1209"/>
    </row>
    <row r="2" spans="1:14" s="721" customFormat="1" ht="16.5" customHeight="1">
      <c r="C2" s="726" t="s">
        <v>1046</v>
      </c>
      <c r="D2" s="726"/>
      <c r="E2" s="723"/>
      <c r="F2" s="724"/>
      <c r="G2" s="723"/>
      <c r="H2" s="725"/>
      <c r="I2" s="724"/>
      <c r="J2" s="727"/>
      <c r="K2" s="727"/>
      <c r="L2" s="724" t="s">
        <v>1047</v>
      </c>
      <c r="M2" s="727"/>
      <c r="N2" s="727"/>
    </row>
    <row r="3" spans="1:14" s="721" customFormat="1" ht="12.75" customHeight="1">
      <c r="D3" s="726"/>
      <c r="E3" s="723"/>
      <c r="F3" s="724"/>
      <c r="G3" s="723"/>
      <c r="H3" s="725"/>
      <c r="I3" s="724"/>
      <c r="J3" s="727"/>
      <c r="K3" s="727"/>
      <c r="L3" s="724"/>
      <c r="M3" s="727"/>
      <c r="N3" s="727"/>
    </row>
    <row r="4" spans="1:14" s="721" customFormat="1" ht="42" customHeight="1">
      <c r="A4" s="1210" t="s">
        <v>1048</v>
      </c>
      <c r="B4" s="1211"/>
      <c r="C4" s="1211"/>
      <c r="D4" s="1211"/>
      <c r="E4" s="1211"/>
      <c r="F4" s="1211"/>
      <c r="G4" s="1211"/>
      <c r="H4" s="1211"/>
      <c r="I4" s="1211"/>
      <c r="J4" s="1211"/>
      <c r="K4" s="1211"/>
      <c r="L4" s="1211"/>
      <c r="M4" s="1211"/>
      <c r="N4" s="1211"/>
    </row>
    <row r="5" spans="1:14" s="721" customFormat="1" ht="13.5" customHeight="1">
      <c r="A5" s="728"/>
      <c r="B5" s="728"/>
      <c r="C5" s="728"/>
      <c r="D5" s="728"/>
      <c r="E5" s="729"/>
      <c r="F5" s="727"/>
      <c r="G5" s="730"/>
      <c r="H5" s="731"/>
      <c r="I5" s="722"/>
      <c r="J5" s="722"/>
      <c r="K5" s="722"/>
      <c r="L5" s="722"/>
      <c r="M5" s="722"/>
      <c r="N5" s="722" t="s">
        <v>2</v>
      </c>
    </row>
    <row r="6" spans="1:14" s="734" customFormat="1" ht="30.75" customHeight="1">
      <c r="A6" s="1212" t="s">
        <v>1049</v>
      </c>
      <c r="B6" s="1213"/>
      <c r="C6" s="1212" t="s">
        <v>223</v>
      </c>
      <c r="D6" s="1213"/>
      <c r="E6" s="1212" t="s">
        <v>1050</v>
      </c>
      <c r="F6" s="1218"/>
      <c r="G6" s="1221" t="s">
        <v>5</v>
      </c>
      <c r="H6" s="1224" t="s">
        <v>6</v>
      </c>
      <c r="I6" s="1227" t="s">
        <v>1051</v>
      </c>
      <c r="J6" s="1228"/>
      <c r="K6" s="1229"/>
      <c r="L6" s="1227" t="s">
        <v>1052</v>
      </c>
      <c r="M6" s="1228"/>
      <c r="N6" s="1229"/>
    </row>
    <row r="7" spans="1:14" s="734" customFormat="1" ht="15.75" customHeight="1">
      <c r="A7" s="1214"/>
      <c r="B7" s="1215"/>
      <c r="C7" s="1214"/>
      <c r="D7" s="1215"/>
      <c r="E7" s="1219"/>
      <c r="F7" s="1220"/>
      <c r="G7" s="1222"/>
      <c r="H7" s="1225"/>
      <c r="I7" s="1230" t="s">
        <v>1053</v>
      </c>
      <c r="J7" s="732" t="s">
        <v>9</v>
      </c>
      <c r="K7" s="733"/>
      <c r="L7" s="1230" t="s">
        <v>1053</v>
      </c>
      <c r="M7" s="732" t="s">
        <v>9</v>
      </c>
      <c r="N7" s="733"/>
    </row>
    <row r="8" spans="1:14" s="734" customFormat="1" ht="15.75" customHeight="1">
      <c r="A8" s="1216"/>
      <c r="B8" s="1217"/>
      <c r="C8" s="1216"/>
      <c r="D8" s="1217"/>
      <c r="E8" s="735" t="s">
        <v>701</v>
      </c>
      <c r="F8" s="736"/>
      <c r="G8" s="1223"/>
      <c r="H8" s="1226"/>
      <c r="I8" s="1231"/>
      <c r="J8" s="733" t="s">
        <v>1054</v>
      </c>
      <c r="K8" s="737" t="s">
        <v>1055</v>
      </c>
      <c r="L8" s="1231"/>
      <c r="M8" s="733" t="s">
        <v>1054</v>
      </c>
      <c r="N8" s="737" t="s">
        <v>1055</v>
      </c>
    </row>
    <row r="9" spans="1:14" s="741" customFormat="1" ht="11.25" customHeight="1">
      <c r="A9" s="1232">
        <v>1</v>
      </c>
      <c r="B9" s="1233"/>
      <c r="C9" s="1232">
        <v>2</v>
      </c>
      <c r="D9" s="1233"/>
      <c r="E9" s="738">
        <v>3</v>
      </c>
      <c r="F9" s="738">
        <v>4</v>
      </c>
      <c r="G9" s="739"/>
      <c r="H9" s="738">
        <v>5</v>
      </c>
      <c r="I9" s="740">
        <v>6</v>
      </c>
      <c r="J9" s="740">
        <v>7</v>
      </c>
      <c r="K9" s="740">
        <v>8</v>
      </c>
      <c r="L9" s="740">
        <v>9</v>
      </c>
      <c r="M9" s="740">
        <v>10</v>
      </c>
      <c r="N9" s="740">
        <v>11</v>
      </c>
    </row>
    <row r="10" spans="1:14" s="749" customFormat="1" ht="3.95" customHeight="1">
      <c r="A10" s="742"/>
      <c r="B10" s="743"/>
      <c r="C10" s="743"/>
      <c r="D10" s="743"/>
      <c r="E10" s="744"/>
      <c r="F10" s="744"/>
      <c r="G10" s="745"/>
      <c r="H10" s="746"/>
      <c r="I10" s="747"/>
      <c r="J10" s="747"/>
      <c r="K10" s="747"/>
      <c r="L10" s="747"/>
      <c r="M10" s="747"/>
      <c r="N10" s="748"/>
    </row>
    <row r="11" spans="1:14" s="753" customFormat="1" ht="18" customHeight="1">
      <c r="A11" s="1234" t="s">
        <v>20</v>
      </c>
      <c r="B11" s="1235"/>
      <c r="C11" s="1235"/>
      <c r="D11" s="1235"/>
      <c r="E11" s="1235"/>
      <c r="F11" s="1236"/>
      <c r="G11" s="750" t="s">
        <v>21</v>
      </c>
      <c r="H11" s="751">
        <f>I11+L11</f>
        <v>582195954</v>
      </c>
      <c r="I11" s="752">
        <f>J11+K11</f>
        <v>365421308</v>
      </c>
      <c r="J11" s="752">
        <f t="shared" ref="J11:K13" si="0">J15+J38+J182</f>
        <v>167787812</v>
      </c>
      <c r="K11" s="752">
        <f t="shared" si="0"/>
        <v>197633496</v>
      </c>
      <c r="L11" s="752">
        <f>M11+N11</f>
        <v>216774646</v>
      </c>
      <c r="M11" s="752">
        <f t="shared" ref="M11:N13" si="1">M15+M38+M182</f>
        <v>17775000</v>
      </c>
      <c r="N11" s="752">
        <f t="shared" si="1"/>
        <v>198999646</v>
      </c>
    </row>
    <row r="12" spans="1:14" s="753" customFormat="1" ht="18" customHeight="1">
      <c r="A12" s="1237"/>
      <c r="B12" s="1238"/>
      <c r="C12" s="1238"/>
      <c r="D12" s="1238"/>
      <c r="E12" s="1238"/>
      <c r="F12" s="1239"/>
      <c r="G12" s="754" t="s">
        <v>22</v>
      </c>
      <c r="H12" s="751">
        <f>I12+L12</f>
        <v>-68604178</v>
      </c>
      <c r="I12" s="752">
        <f>J12+K12</f>
        <v>-57657170</v>
      </c>
      <c r="J12" s="752">
        <f t="shared" si="0"/>
        <v>-49254678</v>
      </c>
      <c r="K12" s="752">
        <f t="shared" si="0"/>
        <v>-8402492</v>
      </c>
      <c r="L12" s="752">
        <f>M12+N12</f>
        <v>-10947008</v>
      </c>
      <c r="M12" s="752">
        <f t="shared" si="1"/>
        <v>-13856262</v>
      </c>
      <c r="N12" s="752">
        <f t="shared" si="1"/>
        <v>2909254</v>
      </c>
    </row>
    <row r="13" spans="1:14" s="753" customFormat="1" ht="18" customHeight="1">
      <c r="A13" s="1240"/>
      <c r="B13" s="1241"/>
      <c r="C13" s="1241"/>
      <c r="D13" s="1241"/>
      <c r="E13" s="1241"/>
      <c r="F13" s="1242"/>
      <c r="G13" s="755" t="s">
        <v>23</v>
      </c>
      <c r="H13" s="751">
        <f>I13+L13</f>
        <v>513591776</v>
      </c>
      <c r="I13" s="752">
        <f>J13+K13</f>
        <v>307764138</v>
      </c>
      <c r="J13" s="752">
        <f t="shared" si="0"/>
        <v>118533134</v>
      </c>
      <c r="K13" s="752">
        <f t="shared" si="0"/>
        <v>189231004</v>
      </c>
      <c r="L13" s="752">
        <f>M13+N13</f>
        <v>205827638</v>
      </c>
      <c r="M13" s="752">
        <f t="shared" si="1"/>
        <v>3918738</v>
      </c>
      <c r="N13" s="752">
        <f t="shared" si="1"/>
        <v>201908900</v>
      </c>
    </row>
    <row r="14" spans="1:14" s="764" customFormat="1" ht="3.75" customHeight="1">
      <c r="A14" s="756"/>
      <c r="B14" s="757"/>
      <c r="C14" s="757"/>
      <c r="D14" s="757"/>
      <c r="E14" s="758"/>
      <c r="F14" s="759"/>
      <c r="G14" s="760"/>
      <c r="H14" s="761"/>
      <c r="I14" s="762"/>
      <c r="J14" s="762"/>
      <c r="K14" s="762"/>
      <c r="L14" s="762"/>
      <c r="M14" s="762"/>
      <c r="N14" s="763"/>
    </row>
    <row r="15" spans="1:14" s="768" customFormat="1" ht="18" customHeight="1">
      <c r="A15" s="1243" t="s">
        <v>1056</v>
      </c>
      <c r="B15" s="1244"/>
      <c r="C15" s="1244"/>
      <c r="D15" s="1244"/>
      <c r="E15" s="1244"/>
      <c r="F15" s="1245"/>
      <c r="G15" s="765" t="s">
        <v>21</v>
      </c>
      <c r="H15" s="766">
        <f>I15+L15</f>
        <v>99222735</v>
      </c>
      <c r="I15" s="767">
        <f>J15+K15</f>
        <v>0</v>
      </c>
      <c r="J15" s="766">
        <f t="shared" ref="J15:K17" si="2">J19+J22+J25+J28+J31+J34</f>
        <v>0</v>
      </c>
      <c r="K15" s="766">
        <f t="shared" si="2"/>
        <v>0</v>
      </c>
      <c r="L15" s="766">
        <f>M15+N15</f>
        <v>99222735</v>
      </c>
      <c r="M15" s="766">
        <f t="shared" ref="M15:N17" si="3">M19+M22+M25+M28+M31+M34</f>
        <v>0</v>
      </c>
      <c r="N15" s="766">
        <f t="shared" si="3"/>
        <v>99222735</v>
      </c>
    </row>
    <row r="16" spans="1:14" s="768" customFormat="1" ht="18" customHeight="1">
      <c r="A16" s="1246"/>
      <c r="B16" s="1247"/>
      <c r="C16" s="1247"/>
      <c r="D16" s="1247"/>
      <c r="E16" s="1247"/>
      <c r="F16" s="1248"/>
      <c r="G16" s="769" t="s">
        <v>22</v>
      </c>
      <c r="H16" s="766">
        <f>I16+L16</f>
        <v>0</v>
      </c>
      <c r="I16" s="767">
        <f>J16+K16</f>
        <v>0</v>
      </c>
      <c r="J16" s="766">
        <f t="shared" si="2"/>
        <v>0</v>
      </c>
      <c r="K16" s="766">
        <f t="shared" si="2"/>
        <v>0</v>
      </c>
      <c r="L16" s="766">
        <f>M16+N16</f>
        <v>0</v>
      </c>
      <c r="M16" s="766">
        <f t="shared" si="3"/>
        <v>0</v>
      </c>
      <c r="N16" s="766">
        <f t="shared" si="3"/>
        <v>0</v>
      </c>
    </row>
    <row r="17" spans="1:14" s="768" customFormat="1" ht="18" customHeight="1">
      <c r="A17" s="1249"/>
      <c r="B17" s="1250"/>
      <c r="C17" s="1250"/>
      <c r="D17" s="1250"/>
      <c r="E17" s="1250"/>
      <c r="F17" s="1251"/>
      <c r="G17" s="770" t="s">
        <v>23</v>
      </c>
      <c r="H17" s="766">
        <f>I17+L17</f>
        <v>99222735</v>
      </c>
      <c r="I17" s="767">
        <f>J17+K17</f>
        <v>0</v>
      </c>
      <c r="J17" s="766">
        <f t="shared" si="2"/>
        <v>0</v>
      </c>
      <c r="K17" s="766">
        <f t="shared" si="2"/>
        <v>0</v>
      </c>
      <c r="L17" s="766">
        <f>M17+N17</f>
        <v>99222735</v>
      </c>
      <c r="M17" s="766">
        <f t="shared" si="3"/>
        <v>0</v>
      </c>
      <c r="N17" s="766">
        <f t="shared" si="3"/>
        <v>99222735</v>
      </c>
    </row>
    <row r="18" spans="1:14" s="764" customFormat="1" ht="3" customHeight="1">
      <c r="A18" s="771"/>
      <c r="B18" s="772"/>
      <c r="C18" s="772"/>
      <c r="D18" s="772"/>
      <c r="E18" s="773"/>
      <c r="F18" s="773"/>
      <c r="G18" s="774"/>
      <c r="H18" s="775"/>
      <c r="I18" s="776"/>
      <c r="J18" s="776"/>
      <c r="K18" s="776"/>
      <c r="L18" s="776"/>
      <c r="M18" s="776"/>
      <c r="N18" s="777"/>
    </row>
    <row r="19" spans="1:14" s="781" customFormat="1" ht="15" hidden="1" customHeight="1">
      <c r="A19" s="1252" t="s">
        <v>56</v>
      </c>
      <c r="B19" s="1253"/>
      <c r="C19" s="1252" t="s">
        <v>58</v>
      </c>
      <c r="D19" s="1253"/>
      <c r="E19" s="1254" t="s">
        <v>1057</v>
      </c>
      <c r="F19" s="1255"/>
      <c r="G19" s="778" t="s">
        <v>21</v>
      </c>
      <c r="H19" s="779">
        <f t="shared" ref="H19:H33" si="4">I19+L19</f>
        <v>95149735</v>
      </c>
      <c r="I19" s="780">
        <f t="shared" ref="I19:I33" si="5">J19+K19</f>
        <v>0</v>
      </c>
      <c r="J19" s="780">
        <v>0</v>
      </c>
      <c r="K19" s="780">
        <v>0</v>
      </c>
      <c r="L19" s="780">
        <f t="shared" ref="L19:L33" si="6">M19+N19</f>
        <v>95149735</v>
      </c>
      <c r="M19" s="780">
        <v>0</v>
      </c>
      <c r="N19" s="780">
        <v>95149735</v>
      </c>
    </row>
    <row r="20" spans="1:14" s="781" customFormat="1" ht="15" hidden="1" customHeight="1">
      <c r="A20" s="1260"/>
      <c r="B20" s="1261"/>
      <c r="C20" s="1260"/>
      <c r="D20" s="1261"/>
      <c r="E20" s="1256"/>
      <c r="F20" s="1257"/>
      <c r="G20" s="782" t="s">
        <v>22</v>
      </c>
      <c r="H20" s="779">
        <f t="shared" si="4"/>
        <v>0</v>
      </c>
      <c r="I20" s="780">
        <f t="shared" si="5"/>
        <v>0</v>
      </c>
      <c r="J20" s="780">
        <v>0</v>
      </c>
      <c r="K20" s="780">
        <v>0</v>
      </c>
      <c r="L20" s="780">
        <f t="shared" si="6"/>
        <v>0</v>
      </c>
      <c r="M20" s="780">
        <v>0</v>
      </c>
      <c r="N20" s="780">
        <v>0</v>
      </c>
    </row>
    <row r="21" spans="1:14" s="781" customFormat="1" ht="15" hidden="1" customHeight="1">
      <c r="A21" s="1260"/>
      <c r="B21" s="1261"/>
      <c r="C21" s="1260"/>
      <c r="D21" s="1261"/>
      <c r="E21" s="1258"/>
      <c r="F21" s="1259"/>
      <c r="G21" s="783" t="s">
        <v>23</v>
      </c>
      <c r="H21" s="779">
        <f t="shared" si="4"/>
        <v>95149735</v>
      </c>
      <c r="I21" s="780">
        <f t="shared" si="5"/>
        <v>0</v>
      </c>
      <c r="J21" s="780">
        <f>J19+J20</f>
        <v>0</v>
      </c>
      <c r="K21" s="780">
        <f>K19+K20</f>
        <v>0</v>
      </c>
      <c r="L21" s="780">
        <f t="shared" si="6"/>
        <v>95149735</v>
      </c>
      <c r="M21" s="780">
        <f>M19+M20</f>
        <v>0</v>
      </c>
      <c r="N21" s="780">
        <f>N19+N20</f>
        <v>95149735</v>
      </c>
    </row>
    <row r="22" spans="1:14" s="781" customFormat="1" ht="15" customHeight="1">
      <c r="A22" s="1260" t="s">
        <v>56</v>
      </c>
      <c r="B22" s="1261"/>
      <c r="C22" s="1260" t="s">
        <v>58</v>
      </c>
      <c r="D22" s="1261"/>
      <c r="E22" s="1254" t="s">
        <v>1058</v>
      </c>
      <c r="F22" s="1255"/>
      <c r="G22" s="778" t="s">
        <v>21</v>
      </c>
      <c r="H22" s="779">
        <f t="shared" si="4"/>
        <v>547000</v>
      </c>
      <c r="I22" s="780">
        <f t="shared" si="5"/>
        <v>0</v>
      </c>
      <c r="J22" s="780">
        <v>0</v>
      </c>
      <c r="K22" s="780">
        <v>0</v>
      </c>
      <c r="L22" s="780">
        <f t="shared" si="6"/>
        <v>547000</v>
      </c>
      <c r="M22" s="780">
        <v>0</v>
      </c>
      <c r="N22" s="780">
        <v>547000</v>
      </c>
    </row>
    <row r="23" spans="1:14" s="781" customFormat="1" ht="15" customHeight="1">
      <c r="A23" s="1260"/>
      <c r="B23" s="1261"/>
      <c r="C23" s="1260"/>
      <c r="D23" s="1261"/>
      <c r="E23" s="1256"/>
      <c r="F23" s="1257"/>
      <c r="G23" s="782" t="s">
        <v>22</v>
      </c>
      <c r="H23" s="779">
        <f t="shared" si="4"/>
        <v>-547000</v>
      </c>
      <c r="I23" s="780">
        <f t="shared" si="5"/>
        <v>0</v>
      </c>
      <c r="J23" s="780">
        <v>0</v>
      </c>
      <c r="K23" s="780">
        <v>0</v>
      </c>
      <c r="L23" s="780">
        <f t="shared" si="6"/>
        <v>-547000</v>
      </c>
      <c r="M23" s="780">
        <v>0</v>
      </c>
      <c r="N23" s="780">
        <v>-547000</v>
      </c>
    </row>
    <row r="24" spans="1:14" s="781" customFormat="1" ht="15" customHeight="1">
      <c r="A24" s="1260"/>
      <c r="B24" s="1261"/>
      <c r="C24" s="1260"/>
      <c r="D24" s="1261"/>
      <c r="E24" s="1258"/>
      <c r="F24" s="1259"/>
      <c r="G24" s="783" t="s">
        <v>23</v>
      </c>
      <c r="H24" s="779">
        <f t="shared" si="4"/>
        <v>0</v>
      </c>
      <c r="I24" s="780">
        <f t="shared" si="5"/>
        <v>0</v>
      </c>
      <c r="J24" s="780">
        <f>J22+J23</f>
        <v>0</v>
      </c>
      <c r="K24" s="780">
        <f>K22+K23</f>
        <v>0</v>
      </c>
      <c r="L24" s="780">
        <f t="shared" si="6"/>
        <v>0</v>
      </c>
      <c r="M24" s="780">
        <f>M22+M23</f>
        <v>0</v>
      </c>
      <c r="N24" s="780">
        <f>N22+N23</f>
        <v>0</v>
      </c>
    </row>
    <row r="25" spans="1:14" s="781" customFormat="1" ht="15" customHeight="1">
      <c r="A25" s="1260"/>
      <c r="B25" s="1261"/>
      <c r="C25" s="1260"/>
      <c r="D25" s="1261"/>
      <c r="E25" s="1254" t="s">
        <v>1059</v>
      </c>
      <c r="F25" s="1255"/>
      <c r="G25" s="778" t="s">
        <v>21</v>
      </c>
      <c r="H25" s="779">
        <f t="shared" si="4"/>
        <v>1504000</v>
      </c>
      <c r="I25" s="780">
        <f t="shared" si="5"/>
        <v>0</v>
      </c>
      <c r="J25" s="780">
        <v>0</v>
      </c>
      <c r="K25" s="780">
        <v>0</v>
      </c>
      <c r="L25" s="780">
        <f t="shared" si="6"/>
        <v>1504000</v>
      </c>
      <c r="M25" s="780">
        <v>0</v>
      </c>
      <c r="N25" s="780">
        <v>1504000</v>
      </c>
    </row>
    <row r="26" spans="1:14" s="781" customFormat="1" ht="15" customHeight="1">
      <c r="A26" s="1260"/>
      <c r="B26" s="1261"/>
      <c r="C26" s="1260"/>
      <c r="D26" s="1261"/>
      <c r="E26" s="1256"/>
      <c r="F26" s="1257"/>
      <c r="G26" s="782" t="s">
        <v>22</v>
      </c>
      <c r="H26" s="779">
        <f t="shared" si="4"/>
        <v>-1504000</v>
      </c>
      <c r="I26" s="780">
        <f t="shared" si="5"/>
        <v>0</v>
      </c>
      <c r="J26" s="780">
        <v>0</v>
      </c>
      <c r="K26" s="780">
        <v>0</v>
      </c>
      <c r="L26" s="780">
        <f t="shared" si="6"/>
        <v>-1504000</v>
      </c>
      <c r="M26" s="780">
        <v>0</v>
      </c>
      <c r="N26" s="780">
        <v>-1504000</v>
      </c>
    </row>
    <row r="27" spans="1:14" s="781" customFormat="1" ht="15" customHeight="1">
      <c r="A27" s="1260"/>
      <c r="B27" s="1261"/>
      <c r="C27" s="1260"/>
      <c r="D27" s="1261"/>
      <c r="E27" s="1258"/>
      <c r="F27" s="1259"/>
      <c r="G27" s="783" t="s">
        <v>23</v>
      </c>
      <c r="H27" s="779">
        <f t="shared" si="4"/>
        <v>0</v>
      </c>
      <c r="I27" s="780">
        <f t="shared" si="5"/>
        <v>0</v>
      </c>
      <c r="J27" s="780">
        <f>J25+J26</f>
        <v>0</v>
      </c>
      <c r="K27" s="780">
        <f>K25+K26</f>
        <v>0</v>
      </c>
      <c r="L27" s="780">
        <f t="shared" si="6"/>
        <v>0</v>
      </c>
      <c r="M27" s="780">
        <f>M25+M26</f>
        <v>0</v>
      </c>
      <c r="N27" s="780">
        <f>N25+N26</f>
        <v>0</v>
      </c>
    </row>
    <row r="28" spans="1:14" s="781" customFormat="1" ht="15" customHeight="1">
      <c r="A28" s="1260"/>
      <c r="B28" s="1261"/>
      <c r="C28" s="1260"/>
      <c r="D28" s="1261"/>
      <c r="E28" s="1254" t="s">
        <v>1060</v>
      </c>
      <c r="F28" s="1255"/>
      <c r="G28" s="778" t="s">
        <v>21</v>
      </c>
      <c r="H28" s="779">
        <f t="shared" si="4"/>
        <v>621000</v>
      </c>
      <c r="I28" s="780">
        <f t="shared" si="5"/>
        <v>0</v>
      </c>
      <c r="J28" s="780">
        <v>0</v>
      </c>
      <c r="K28" s="780">
        <v>0</v>
      </c>
      <c r="L28" s="780">
        <f t="shared" si="6"/>
        <v>621000</v>
      </c>
      <c r="M28" s="780">
        <v>0</v>
      </c>
      <c r="N28" s="780">
        <v>621000</v>
      </c>
    </row>
    <row r="29" spans="1:14" s="781" customFormat="1" ht="15" customHeight="1">
      <c r="A29" s="1260"/>
      <c r="B29" s="1261"/>
      <c r="C29" s="1260"/>
      <c r="D29" s="1261"/>
      <c r="E29" s="1256"/>
      <c r="F29" s="1257"/>
      <c r="G29" s="782" t="s">
        <v>22</v>
      </c>
      <c r="H29" s="779">
        <f t="shared" si="4"/>
        <v>-621000</v>
      </c>
      <c r="I29" s="780">
        <f t="shared" si="5"/>
        <v>0</v>
      </c>
      <c r="J29" s="780">
        <v>0</v>
      </c>
      <c r="K29" s="780">
        <v>0</v>
      </c>
      <c r="L29" s="780">
        <f t="shared" si="6"/>
        <v>-621000</v>
      </c>
      <c r="M29" s="780">
        <v>0</v>
      </c>
      <c r="N29" s="780">
        <v>-621000</v>
      </c>
    </row>
    <row r="30" spans="1:14" s="781" customFormat="1" ht="15" customHeight="1">
      <c r="A30" s="1260"/>
      <c r="B30" s="1261"/>
      <c r="C30" s="1260"/>
      <c r="D30" s="1261"/>
      <c r="E30" s="1258"/>
      <c r="F30" s="1259"/>
      <c r="G30" s="783" t="s">
        <v>23</v>
      </c>
      <c r="H30" s="779">
        <f t="shared" si="4"/>
        <v>0</v>
      </c>
      <c r="I30" s="780">
        <f t="shared" si="5"/>
        <v>0</v>
      </c>
      <c r="J30" s="780">
        <f>J28+J29</f>
        <v>0</v>
      </c>
      <c r="K30" s="780">
        <f>K28+K29</f>
        <v>0</v>
      </c>
      <c r="L30" s="780">
        <f t="shared" si="6"/>
        <v>0</v>
      </c>
      <c r="M30" s="780">
        <f>M28+M29</f>
        <v>0</v>
      </c>
      <c r="N30" s="780">
        <f>N28+N29</f>
        <v>0</v>
      </c>
    </row>
    <row r="31" spans="1:14" s="781" customFormat="1" ht="18" customHeight="1">
      <c r="A31" s="1260"/>
      <c r="B31" s="1261"/>
      <c r="C31" s="1260"/>
      <c r="D31" s="1261"/>
      <c r="E31" s="1254" t="s">
        <v>1061</v>
      </c>
      <c r="F31" s="1255"/>
      <c r="G31" s="778" t="s">
        <v>21</v>
      </c>
      <c r="H31" s="779">
        <f t="shared" si="4"/>
        <v>1401000</v>
      </c>
      <c r="I31" s="780">
        <f t="shared" si="5"/>
        <v>0</v>
      </c>
      <c r="J31" s="780">
        <v>0</v>
      </c>
      <c r="K31" s="780">
        <v>0</v>
      </c>
      <c r="L31" s="780">
        <f t="shared" si="6"/>
        <v>1401000</v>
      </c>
      <c r="M31" s="780">
        <v>0</v>
      </c>
      <c r="N31" s="780">
        <v>1401000</v>
      </c>
    </row>
    <row r="32" spans="1:14" s="781" customFormat="1" ht="18" customHeight="1">
      <c r="A32" s="1260"/>
      <c r="B32" s="1261"/>
      <c r="C32" s="1260"/>
      <c r="D32" s="1261"/>
      <c r="E32" s="1256"/>
      <c r="F32" s="1257"/>
      <c r="G32" s="782" t="s">
        <v>22</v>
      </c>
      <c r="H32" s="779">
        <f t="shared" si="4"/>
        <v>-1401000</v>
      </c>
      <c r="I32" s="780">
        <f t="shared" si="5"/>
        <v>0</v>
      </c>
      <c r="J32" s="780">
        <v>0</v>
      </c>
      <c r="K32" s="780">
        <v>0</v>
      </c>
      <c r="L32" s="780">
        <f t="shared" si="6"/>
        <v>-1401000</v>
      </c>
      <c r="M32" s="780">
        <v>0</v>
      </c>
      <c r="N32" s="780">
        <v>-1401000</v>
      </c>
    </row>
    <row r="33" spans="1:14" s="781" customFormat="1" ht="18" customHeight="1">
      <c r="A33" s="1260"/>
      <c r="B33" s="1261"/>
      <c r="C33" s="1260"/>
      <c r="D33" s="1261"/>
      <c r="E33" s="1258"/>
      <c r="F33" s="1259"/>
      <c r="G33" s="783" t="s">
        <v>23</v>
      </c>
      <c r="H33" s="779">
        <f t="shared" si="4"/>
        <v>0</v>
      </c>
      <c r="I33" s="780">
        <f t="shared" si="5"/>
        <v>0</v>
      </c>
      <c r="J33" s="780">
        <f>J31+J32</f>
        <v>0</v>
      </c>
      <c r="K33" s="780">
        <f>K31+K32</f>
        <v>0</v>
      </c>
      <c r="L33" s="780">
        <f t="shared" si="6"/>
        <v>0</v>
      </c>
      <c r="M33" s="780">
        <f>M31+M32</f>
        <v>0</v>
      </c>
      <c r="N33" s="780">
        <f>N31+N32</f>
        <v>0</v>
      </c>
    </row>
    <row r="34" spans="1:14" s="781" customFormat="1" ht="18" customHeight="1">
      <c r="A34" s="1260"/>
      <c r="B34" s="1261"/>
      <c r="C34" s="1260"/>
      <c r="D34" s="1261"/>
      <c r="E34" s="1262" t="s">
        <v>1062</v>
      </c>
      <c r="F34" s="1255"/>
      <c r="G34" s="778" t="s">
        <v>21</v>
      </c>
      <c r="H34" s="779">
        <f>I34+L34</f>
        <v>0</v>
      </c>
      <c r="I34" s="780">
        <f>J34+K34</f>
        <v>0</v>
      </c>
      <c r="J34" s="780">
        <v>0</v>
      </c>
      <c r="K34" s="780">
        <v>0</v>
      </c>
      <c r="L34" s="780">
        <f>M34+N34</f>
        <v>0</v>
      </c>
      <c r="M34" s="780">
        <v>0</v>
      </c>
      <c r="N34" s="780">
        <v>0</v>
      </c>
    </row>
    <row r="35" spans="1:14" s="781" customFormat="1" ht="18" customHeight="1">
      <c r="A35" s="1260"/>
      <c r="B35" s="1261"/>
      <c r="C35" s="1260"/>
      <c r="D35" s="1261"/>
      <c r="E35" s="1256"/>
      <c r="F35" s="1257"/>
      <c r="G35" s="782" t="s">
        <v>22</v>
      </c>
      <c r="H35" s="779">
        <f>I35+L35</f>
        <v>4073000</v>
      </c>
      <c r="I35" s="780">
        <f>J35+K35</f>
        <v>0</v>
      </c>
      <c r="J35" s="780">
        <v>0</v>
      </c>
      <c r="K35" s="780">
        <v>0</v>
      </c>
      <c r="L35" s="780">
        <f>M35+N35</f>
        <v>4073000</v>
      </c>
      <c r="M35" s="780">
        <v>0</v>
      </c>
      <c r="N35" s="780">
        <v>4073000</v>
      </c>
    </row>
    <row r="36" spans="1:14" s="781" customFormat="1" ht="18" customHeight="1">
      <c r="A36" s="1260"/>
      <c r="B36" s="1261"/>
      <c r="C36" s="1263"/>
      <c r="D36" s="1264"/>
      <c r="E36" s="1258"/>
      <c r="F36" s="1259"/>
      <c r="G36" s="783" t="s">
        <v>23</v>
      </c>
      <c r="H36" s="779">
        <f>I36+L36</f>
        <v>4073000</v>
      </c>
      <c r="I36" s="780">
        <f>J36+K36</f>
        <v>0</v>
      </c>
      <c r="J36" s="780">
        <f>J34+J35</f>
        <v>0</v>
      </c>
      <c r="K36" s="780">
        <f>K34+K35</f>
        <v>0</v>
      </c>
      <c r="L36" s="780">
        <f>M36+N36</f>
        <v>4073000</v>
      </c>
      <c r="M36" s="780">
        <f>M34+M35</f>
        <v>0</v>
      </c>
      <c r="N36" s="780">
        <f>N34+N35</f>
        <v>4073000</v>
      </c>
    </row>
    <row r="37" spans="1:14" s="764" customFormat="1" ht="3" customHeight="1">
      <c r="A37" s="784"/>
      <c r="B37" s="785"/>
      <c r="C37" s="785"/>
      <c r="D37" s="785"/>
      <c r="E37" s="786"/>
      <c r="F37" s="787"/>
      <c r="G37" s="745"/>
      <c r="H37" s="746"/>
      <c r="I37" s="747"/>
      <c r="J37" s="747"/>
      <c r="K37" s="747"/>
      <c r="L37" s="747"/>
      <c r="M37" s="747"/>
      <c r="N37" s="748"/>
    </row>
    <row r="38" spans="1:14" s="768" customFormat="1" ht="18" customHeight="1">
      <c r="A38" s="1243" t="s">
        <v>1063</v>
      </c>
      <c r="B38" s="1244"/>
      <c r="C38" s="1244"/>
      <c r="D38" s="1244"/>
      <c r="E38" s="1244"/>
      <c r="F38" s="1245"/>
      <c r="G38" s="765" t="s">
        <v>21</v>
      </c>
      <c r="H38" s="788">
        <f>I38+L38</f>
        <v>87805051</v>
      </c>
      <c r="I38" s="789">
        <f>J38+K38</f>
        <v>87805051</v>
      </c>
      <c r="J38" s="789">
        <f t="shared" ref="J38:K40" si="7">J42</f>
        <v>0</v>
      </c>
      <c r="K38" s="789">
        <f t="shared" si="7"/>
        <v>87805051</v>
      </c>
      <c r="L38" s="789">
        <f>M38+N38</f>
        <v>0</v>
      </c>
      <c r="M38" s="789">
        <f t="shared" ref="M38:N40" si="8">M42</f>
        <v>0</v>
      </c>
      <c r="N38" s="789">
        <f t="shared" si="8"/>
        <v>0</v>
      </c>
    </row>
    <row r="39" spans="1:14" s="768" customFormat="1" ht="18" customHeight="1">
      <c r="A39" s="1246"/>
      <c r="B39" s="1247"/>
      <c r="C39" s="1247"/>
      <c r="D39" s="1247"/>
      <c r="E39" s="1247"/>
      <c r="F39" s="1248"/>
      <c r="G39" s="769" t="s">
        <v>22</v>
      </c>
      <c r="H39" s="788">
        <f>I39+L39</f>
        <v>774379</v>
      </c>
      <c r="I39" s="789">
        <f>J39+K39</f>
        <v>774379</v>
      </c>
      <c r="J39" s="789">
        <f t="shared" si="7"/>
        <v>0</v>
      </c>
      <c r="K39" s="789">
        <f t="shared" si="7"/>
        <v>774379</v>
      </c>
      <c r="L39" s="789">
        <f>M39+N39</f>
        <v>0</v>
      </c>
      <c r="M39" s="789">
        <f t="shared" si="8"/>
        <v>0</v>
      </c>
      <c r="N39" s="789">
        <f t="shared" si="8"/>
        <v>0</v>
      </c>
    </row>
    <row r="40" spans="1:14" s="768" customFormat="1" ht="18" customHeight="1">
      <c r="A40" s="1249"/>
      <c r="B40" s="1250"/>
      <c r="C40" s="1250"/>
      <c r="D40" s="1250"/>
      <c r="E40" s="1250"/>
      <c r="F40" s="1251"/>
      <c r="G40" s="770" t="s">
        <v>23</v>
      </c>
      <c r="H40" s="788">
        <f>I40+L40</f>
        <v>88579430</v>
      </c>
      <c r="I40" s="789">
        <f>J40+K40</f>
        <v>88579430</v>
      </c>
      <c r="J40" s="789">
        <f t="shared" si="7"/>
        <v>0</v>
      </c>
      <c r="K40" s="789">
        <f t="shared" si="7"/>
        <v>88579430</v>
      </c>
      <c r="L40" s="789">
        <f>M40+N40</f>
        <v>0</v>
      </c>
      <c r="M40" s="789">
        <f t="shared" si="8"/>
        <v>0</v>
      </c>
      <c r="N40" s="789">
        <f t="shared" si="8"/>
        <v>0</v>
      </c>
    </row>
    <row r="41" spans="1:14" s="764" customFormat="1" ht="3.95" customHeight="1">
      <c r="A41" s="771"/>
      <c r="B41" s="772"/>
      <c r="C41" s="772"/>
      <c r="D41" s="772"/>
      <c r="E41" s="773"/>
      <c r="F41" s="773"/>
      <c r="G41" s="774"/>
      <c r="H41" s="775"/>
      <c r="I41" s="776"/>
      <c r="J41" s="776"/>
      <c r="K41" s="776"/>
      <c r="L41" s="776"/>
      <c r="M41" s="776"/>
      <c r="N41" s="777"/>
    </row>
    <row r="42" spans="1:14" s="793" customFormat="1" ht="15" customHeight="1">
      <c r="A42" s="1265" t="s">
        <v>1064</v>
      </c>
      <c r="B42" s="1266"/>
      <c r="C42" s="1266"/>
      <c r="D42" s="1266"/>
      <c r="E42" s="1266"/>
      <c r="F42" s="1267"/>
      <c r="G42" s="790" t="s">
        <v>21</v>
      </c>
      <c r="H42" s="791">
        <f>I42+L42</f>
        <v>87805051</v>
      </c>
      <c r="I42" s="792">
        <f>J42+K42</f>
        <v>87805051</v>
      </c>
      <c r="J42" s="792">
        <f t="shared" ref="J42:K44" si="9">J46+J58+J64+J70+J76+J82+J91+J103+J112+J118+J124+J130+J142+J154+J163+J175</f>
        <v>0</v>
      </c>
      <c r="K42" s="792">
        <f t="shared" si="9"/>
        <v>87805051</v>
      </c>
      <c r="L42" s="792">
        <f>M42+N42</f>
        <v>0</v>
      </c>
      <c r="M42" s="792">
        <f t="shared" ref="M42:N44" si="10">M46+M58+M64+M70+M76+M82+M91+M103+M112+M118+M124+M130+M142+M154+M163+M175</f>
        <v>0</v>
      </c>
      <c r="N42" s="792">
        <f t="shared" si="10"/>
        <v>0</v>
      </c>
    </row>
    <row r="43" spans="1:14" s="793" customFormat="1" ht="15" customHeight="1">
      <c r="A43" s="1246"/>
      <c r="B43" s="1268"/>
      <c r="C43" s="1268"/>
      <c r="D43" s="1268"/>
      <c r="E43" s="1268"/>
      <c r="F43" s="1248"/>
      <c r="G43" s="794" t="s">
        <v>22</v>
      </c>
      <c r="H43" s="791">
        <f>I43+L43</f>
        <v>774379</v>
      </c>
      <c r="I43" s="792">
        <f>J43+K43</f>
        <v>774379</v>
      </c>
      <c r="J43" s="792">
        <f t="shared" si="9"/>
        <v>0</v>
      </c>
      <c r="K43" s="792">
        <f t="shared" si="9"/>
        <v>774379</v>
      </c>
      <c r="L43" s="792">
        <f>M43+N43</f>
        <v>0</v>
      </c>
      <c r="M43" s="792">
        <f t="shared" si="10"/>
        <v>0</v>
      </c>
      <c r="N43" s="792">
        <f t="shared" si="10"/>
        <v>0</v>
      </c>
    </row>
    <row r="44" spans="1:14" s="793" customFormat="1" ht="15" customHeight="1">
      <c r="A44" s="1249"/>
      <c r="B44" s="1250"/>
      <c r="C44" s="1250"/>
      <c r="D44" s="1250"/>
      <c r="E44" s="1250"/>
      <c r="F44" s="1251"/>
      <c r="G44" s="795" t="s">
        <v>23</v>
      </c>
      <c r="H44" s="791">
        <f>I44+L44</f>
        <v>88579430</v>
      </c>
      <c r="I44" s="792">
        <f>J44+K44</f>
        <v>88579430</v>
      </c>
      <c r="J44" s="792">
        <f t="shared" si="9"/>
        <v>0</v>
      </c>
      <c r="K44" s="792">
        <f t="shared" si="9"/>
        <v>88579430</v>
      </c>
      <c r="L44" s="792">
        <f>M44+N44</f>
        <v>0</v>
      </c>
      <c r="M44" s="792">
        <f t="shared" si="10"/>
        <v>0</v>
      </c>
      <c r="N44" s="792">
        <f t="shared" si="10"/>
        <v>0</v>
      </c>
    </row>
    <row r="45" spans="1:14" s="802" customFormat="1" ht="3.95" customHeight="1">
      <c r="A45" s="796"/>
      <c r="B45" s="797"/>
      <c r="C45" s="797"/>
      <c r="D45" s="797"/>
      <c r="E45" s="797"/>
      <c r="F45" s="797"/>
      <c r="G45" s="798"/>
      <c r="H45" s="799"/>
      <c r="I45" s="800"/>
      <c r="J45" s="800"/>
      <c r="K45" s="800"/>
      <c r="L45" s="800"/>
      <c r="M45" s="800"/>
      <c r="N45" s="801"/>
    </row>
    <row r="46" spans="1:14" s="734" customFormat="1" ht="15" customHeight="1">
      <c r="A46" s="1269" t="s">
        <v>303</v>
      </c>
      <c r="B46" s="1270"/>
      <c r="C46" s="1270"/>
      <c r="D46" s="1270"/>
      <c r="E46" s="1270"/>
      <c r="F46" s="1271"/>
      <c r="G46" s="803" t="s">
        <v>21</v>
      </c>
      <c r="H46" s="804">
        <f t="shared" ref="H46:H115" si="11">I46+L46</f>
        <v>8310000</v>
      </c>
      <c r="I46" s="805">
        <f t="shared" ref="I46:I115" si="12">J46+K46</f>
        <v>8310000</v>
      </c>
      <c r="J46" s="805">
        <f t="shared" ref="J46:K48" si="13">J49+J52+J55</f>
        <v>0</v>
      </c>
      <c r="K46" s="805">
        <f t="shared" si="13"/>
        <v>8310000</v>
      </c>
      <c r="L46" s="805">
        <f t="shared" ref="L46:L98" si="14">M46+N46</f>
        <v>0</v>
      </c>
      <c r="M46" s="805">
        <f t="shared" ref="M46:N48" si="15">M49+M52+M55</f>
        <v>0</v>
      </c>
      <c r="N46" s="805">
        <f t="shared" si="15"/>
        <v>0</v>
      </c>
    </row>
    <row r="47" spans="1:14" s="734" customFormat="1" ht="15" customHeight="1">
      <c r="A47" s="1272"/>
      <c r="B47" s="1273"/>
      <c r="C47" s="1273"/>
      <c r="D47" s="1273"/>
      <c r="E47" s="1273"/>
      <c r="F47" s="1274"/>
      <c r="G47" s="806" t="s">
        <v>22</v>
      </c>
      <c r="H47" s="804">
        <f t="shared" si="11"/>
        <v>63938</v>
      </c>
      <c r="I47" s="805">
        <f t="shared" si="12"/>
        <v>63938</v>
      </c>
      <c r="J47" s="805">
        <f t="shared" si="13"/>
        <v>0</v>
      </c>
      <c r="K47" s="805">
        <f t="shared" si="13"/>
        <v>63938</v>
      </c>
      <c r="L47" s="805">
        <f t="shared" si="14"/>
        <v>0</v>
      </c>
      <c r="M47" s="805">
        <f t="shared" si="15"/>
        <v>0</v>
      </c>
      <c r="N47" s="805">
        <f t="shared" si="15"/>
        <v>0</v>
      </c>
    </row>
    <row r="48" spans="1:14" s="734" customFormat="1" ht="15" customHeight="1">
      <c r="A48" s="1275"/>
      <c r="B48" s="1276"/>
      <c r="C48" s="1276"/>
      <c r="D48" s="1276"/>
      <c r="E48" s="1276"/>
      <c r="F48" s="1277"/>
      <c r="G48" s="807" t="s">
        <v>23</v>
      </c>
      <c r="H48" s="804">
        <f t="shared" si="11"/>
        <v>8373938</v>
      </c>
      <c r="I48" s="805">
        <f t="shared" si="12"/>
        <v>8373938</v>
      </c>
      <c r="J48" s="805">
        <f t="shared" si="13"/>
        <v>0</v>
      </c>
      <c r="K48" s="805">
        <f t="shared" si="13"/>
        <v>8373938</v>
      </c>
      <c r="L48" s="805">
        <f t="shared" si="14"/>
        <v>0</v>
      </c>
      <c r="M48" s="805">
        <f t="shared" si="15"/>
        <v>0</v>
      </c>
      <c r="N48" s="805">
        <f t="shared" si="15"/>
        <v>0</v>
      </c>
    </row>
    <row r="49" spans="1:14" s="721" customFormat="1" ht="15" customHeight="1">
      <c r="A49" s="1278" t="s">
        <v>300</v>
      </c>
      <c r="B49" s="1279"/>
      <c r="C49" s="1280" t="s">
        <v>301</v>
      </c>
      <c r="D49" s="1281"/>
      <c r="E49" s="1254" t="s">
        <v>1065</v>
      </c>
      <c r="F49" s="1255"/>
      <c r="G49" s="778" t="s">
        <v>21</v>
      </c>
      <c r="H49" s="808">
        <f t="shared" si="11"/>
        <v>7410000</v>
      </c>
      <c r="I49" s="809">
        <f t="shared" si="12"/>
        <v>7410000</v>
      </c>
      <c r="J49" s="809">
        <v>0</v>
      </c>
      <c r="K49" s="809">
        <v>7410000</v>
      </c>
      <c r="L49" s="809">
        <f t="shared" si="14"/>
        <v>0</v>
      </c>
      <c r="M49" s="809">
        <v>0</v>
      </c>
      <c r="N49" s="809">
        <v>0</v>
      </c>
    </row>
    <row r="50" spans="1:14" s="721" customFormat="1" ht="15" customHeight="1">
      <c r="A50" s="1282"/>
      <c r="B50" s="1283"/>
      <c r="C50" s="1284"/>
      <c r="D50" s="1285"/>
      <c r="E50" s="1256"/>
      <c r="F50" s="1257"/>
      <c r="G50" s="810" t="s">
        <v>22</v>
      </c>
      <c r="H50" s="808">
        <f t="shared" si="11"/>
        <v>63938</v>
      </c>
      <c r="I50" s="809">
        <f t="shared" si="12"/>
        <v>63938</v>
      </c>
      <c r="J50" s="809">
        <v>0</v>
      </c>
      <c r="K50" s="809">
        <v>63938</v>
      </c>
      <c r="L50" s="809">
        <f t="shared" si="14"/>
        <v>0</v>
      </c>
      <c r="M50" s="809">
        <v>0</v>
      </c>
      <c r="N50" s="809">
        <v>0</v>
      </c>
    </row>
    <row r="51" spans="1:14" s="721" customFormat="1" ht="15" customHeight="1">
      <c r="A51" s="1282"/>
      <c r="B51" s="1283"/>
      <c r="C51" s="1284"/>
      <c r="D51" s="1285"/>
      <c r="E51" s="1258"/>
      <c r="F51" s="1259"/>
      <c r="G51" s="811" t="s">
        <v>23</v>
      </c>
      <c r="H51" s="808">
        <f t="shared" si="11"/>
        <v>7473938</v>
      </c>
      <c r="I51" s="809">
        <f t="shared" si="12"/>
        <v>7473938</v>
      </c>
      <c r="J51" s="809">
        <f>J49+J50</f>
        <v>0</v>
      </c>
      <c r="K51" s="809">
        <f>K49+K50</f>
        <v>7473938</v>
      </c>
      <c r="L51" s="809">
        <f t="shared" si="14"/>
        <v>0</v>
      </c>
      <c r="M51" s="809">
        <f>M49+M50</f>
        <v>0</v>
      </c>
      <c r="N51" s="809">
        <f>N49+N50</f>
        <v>0</v>
      </c>
    </row>
    <row r="52" spans="1:14" s="812" customFormat="1" ht="15" hidden="1" customHeight="1">
      <c r="A52" s="1286"/>
      <c r="B52" s="1287"/>
      <c r="C52" s="1260"/>
      <c r="D52" s="1261"/>
      <c r="E52" s="1254" t="s">
        <v>1066</v>
      </c>
      <c r="F52" s="1255"/>
      <c r="G52" s="778" t="s">
        <v>21</v>
      </c>
      <c r="H52" s="779">
        <f t="shared" si="11"/>
        <v>550000</v>
      </c>
      <c r="I52" s="780">
        <f t="shared" si="12"/>
        <v>550000</v>
      </c>
      <c r="J52" s="780">
        <v>0</v>
      </c>
      <c r="K52" s="780">
        <v>550000</v>
      </c>
      <c r="L52" s="780">
        <f t="shared" si="14"/>
        <v>0</v>
      </c>
      <c r="M52" s="780">
        <v>0</v>
      </c>
      <c r="N52" s="780">
        <v>0</v>
      </c>
    </row>
    <row r="53" spans="1:14" s="812" customFormat="1" ht="15" hidden="1" customHeight="1">
      <c r="A53" s="1286"/>
      <c r="B53" s="1292"/>
      <c r="C53" s="1260"/>
      <c r="D53" s="1292"/>
      <c r="E53" s="1288"/>
      <c r="F53" s="1289"/>
      <c r="G53" s="814" t="s">
        <v>22</v>
      </c>
      <c r="H53" s="779">
        <f t="shared" si="11"/>
        <v>0</v>
      </c>
      <c r="I53" s="780">
        <f t="shared" si="12"/>
        <v>0</v>
      </c>
      <c r="J53" s="780">
        <v>0</v>
      </c>
      <c r="K53" s="780">
        <v>0</v>
      </c>
      <c r="L53" s="780">
        <f t="shared" si="14"/>
        <v>0</v>
      </c>
      <c r="M53" s="780">
        <v>0</v>
      </c>
      <c r="N53" s="780">
        <v>0</v>
      </c>
    </row>
    <row r="54" spans="1:14" s="721" customFormat="1" ht="15" hidden="1" customHeight="1">
      <c r="A54" s="1282"/>
      <c r="B54" s="1283"/>
      <c r="C54" s="1284"/>
      <c r="D54" s="1285"/>
      <c r="E54" s="1290"/>
      <c r="F54" s="1291"/>
      <c r="G54" s="811" t="s">
        <v>23</v>
      </c>
      <c r="H54" s="808">
        <f>I54+L54</f>
        <v>550000</v>
      </c>
      <c r="I54" s="809">
        <f>J54+K54</f>
        <v>550000</v>
      </c>
      <c r="J54" s="809">
        <f>J52+J53</f>
        <v>0</v>
      </c>
      <c r="K54" s="809">
        <f>K52+K53</f>
        <v>550000</v>
      </c>
      <c r="L54" s="809">
        <f>M54+N54</f>
        <v>0</v>
      </c>
      <c r="M54" s="809">
        <f>M52+M53</f>
        <v>0</v>
      </c>
      <c r="N54" s="809">
        <f>N52+N53</f>
        <v>0</v>
      </c>
    </row>
    <row r="55" spans="1:14" s="812" customFormat="1" ht="15" hidden="1" customHeight="1">
      <c r="A55" s="1286"/>
      <c r="B55" s="1287"/>
      <c r="C55" s="1260"/>
      <c r="D55" s="1261"/>
      <c r="E55" s="1254" t="s">
        <v>1067</v>
      </c>
      <c r="F55" s="1255"/>
      <c r="G55" s="778" t="s">
        <v>21</v>
      </c>
      <c r="H55" s="779">
        <f t="shared" si="11"/>
        <v>350000</v>
      </c>
      <c r="I55" s="780">
        <f t="shared" si="12"/>
        <v>350000</v>
      </c>
      <c r="J55" s="780">
        <v>0</v>
      </c>
      <c r="K55" s="780">
        <v>350000</v>
      </c>
      <c r="L55" s="780">
        <f t="shared" si="14"/>
        <v>0</v>
      </c>
      <c r="M55" s="780">
        <v>0</v>
      </c>
      <c r="N55" s="780">
        <v>0</v>
      </c>
    </row>
    <row r="56" spans="1:14" s="812" customFormat="1" ht="15" hidden="1" customHeight="1">
      <c r="A56" s="1286"/>
      <c r="B56" s="1292"/>
      <c r="C56" s="1260"/>
      <c r="D56" s="1292"/>
      <c r="E56" s="1288"/>
      <c r="F56" s="1289"/>
      <c r="G56" s="814" t="s">
        <v>22</v>
      </c>
      <c r="H56" s="779">
        <f t="shared" si="11"/>
        <v>0</v>
      </c>
      <c r="I56" s="780">
        <f t="shared" si="12"/>
        <v>0</v>
      </c>
      <c r="J56" s="780">
        <v>0</v>
      </c>
      <c r="K56" s="780">
        <v>0</v>
      </c>
      <c r="L56" s="780">
        <f t="shared" si="14"/>
        <v>0</v>
      </c>
      <c r="M56" s="780">
        <v>0</v>
      </c>
      <c r="N56" s="780">
        <v>0</v>
      </c>
    </row>
    <row r="57" spans="1:14" s="721" customFormat="1" ht="15" hidden="1" customHeight="1">
      <c r="A57" s="1282"/>
      <c r="B57" s="1283"/>
      <c r="C57" s="1284"/>
      <c r="D57" s="1285"/>
      <c r="E57" s="1290"/>
      <c r="F57" s="1291"/>
      <c r="G57" s="811" t="s">
        <v>23</v>
      </c>
      <c r="H57" s="808">
        <f>I57+L57</f>
        <v>350000</v>
      </c>
      <c r="I57" s="809">
        <f>J57+K57</f>
        <v>350000</v>
      </c>
      <c r="J57" s="809">
        <f>J55+J56</f>
        <v>0</v>
      </c>
      <c r="K57" s="809">
        <f>K55+K56</f>
        <v>350000</v>
      </c>
      <c r="L57" s="809">
        <f>M57+N57</f>
        <v>0</v>
      </c>
      <c r="M57" s="809">
        <f>M55+M56</f>
        <v>0</v>
      </c>
      <c r="N57" s="809">
        <f>N55+N56</f>
        <v>0</v>
      </c>
    </row>
    <row r="58" spans="1:14" s="734" customFormat="1" ht="15" customHeight="1">
      <c r="A58" s="1269" t="s">
        <v>306</v>
      </c>
      <c r="B58" s="1293"/>
      <c r="C58" s="1293"/>
      <c r="D58" s="1293"/>
      <c r="E58" s="1293"/>
      <c r="F58" s="1294"/>
      <c r="G58" s="815" t="s">
        <v>21</v>
      </c>
      <c r="H58" s="804">
        <f t="shared" si="11"/>
        <v>19740000</v>
      </c>
      <c r="I58" s="805">
        <f t="shared" si="12"/>
        <v>19740000</v>
      </c>
      <c r="J58" s="805">
        <f t="shared" ref="J58:K60" si="16">J61</f>
        <v>0</v>
      </c>
      <c r="K58" s="805">
        <f t="shared" si="16"/>
        <v>19740000</v>
      </c>
      <c r="L58" s="805">
        <f t="shared" si="14"/>
        <v>0</v>
      </c>
      <c r="M58" s="805">
        <f t="shared" ref="M58:N60" si="17">M61</f>
        <v>0</v>
      </c>
      <c r="N58" s="805">
        <f t="shared" si="17"/>
        <v>0</v>
      </c>
    </row>
    <row r="59" spans="1:14" s="734" customFormat="1" ht="15" customHeight="1">
      <c r="A59" s="1295"/>
      <c r="B59" s="1296"/>
      <c r="C59" s="1296"/>
      <c r="D59" s="1296"/>
      <c r="E59" s="1296"/>
      <c r="F59" s="1297"/>
      <c r="G59" s="816" t="s">
        <v>22</v>
      </c>
      <c r="H59" s="804">
        <f t="shared" si="11"/>
        <v>213000</v>
      </c>
      <c r="I59" s="805">
        <f t="shared" si="12"/>
        <v>213000</v>
      </c>
      <c r="J59" s="805">
        <f t="shared" si="16"/>
        <v>0</v>
      </c>
      <c r="K59" s="805">
        <f t="shared" si="16"/>
        <v>213000</v>
      </c>
      <c r="L59" s="805">
        <f t="shared" si="14"/>
        <v>0</v>
      </c>
      <c r="M59" s="805">
        <f t="shared" si="17"/>
        <v>0</v>
      </c>
      <c r="N59" s="805">
        <f t="shared" si="17"/>
        <v>0</v>
      </c>
    </row>
    <row r="60" spans="1:14" s="734" customFormat="1" ht="15" customHeight="1">
      <c r="A60" s="1298"/>
      <c r="B60" s="1299"/>
      <c r="C60" s="1299"/>
      <c r="D60" s="1299"/>
      <c r="E60" s="1299"/>
      <c r="F60" s="1300"/>
      <c r="G60" s="817" t="s">
        <v>23</v>
      </c>
      <c r="H60" s="804">
        <f t="shared" si="11"/>
        <v>19953000</v>
      </c>
      <c r="I60" s="805">
        <f t="shared" si="12"/>
        <v>19953000</v>
      </c>
      <c r="J60" s="805">
        <f t="shared" si="16"/>
        <v>0</v>
      </c>
      <c r="K60" s="805">
        <f t="shared" si="16"/>
        <v>19953000</v>
      </c>
      <c r="L60" s="805">
        <f t="shared" si="14"/>
        <v>0</v>
      </c>
      <c r="M60" s="805">
        <f t="shared" si="17"/>
        <v>0</v>
      </c>
      <c r="N60" s="805">
        <f t="shared" si="17"/>
        <v>0</v>
      </c>
    </row>
    <row r="61" spans="1:14" s="721" customFormat="1" ht="15" customHeight="1">
      <c r="A61" s="1278" t="s">
        <v>300</v>
      </c>
      <c r="B61" s="1279"/>
      <c r="C61" s="1280" t="s">
        <v>301</v>
      </c>
      <c r="D61" s="1281"/>
      <c r="E61" s="1254" t="s">
        <v>1065</v>
      </c>
      <c r="F61" s="1255"/>
      <c r="G61" s="778" t="s">
        <v>21</v>
      </c>
      <c r="H61" s="808">
        <f t="shared" si="11"/>
        <v>19740000</v>
      </c>
      <c r="I61" s="809">
        <f t="shared" si="12"/>
        <v>19740000</v>
      </c>
      <c r="J61" s="809">
        <v>0</v>
      </c>
      <c r="K61" s="809">
        <v>19740000</v>
      </c>
      <c r="L61" s="809">
        <f t="shared" si="14"/>
        <v>0</v>
      </c>
      <c r="M61" s="809">
        <v>0</v>
      </c>
      <c r="N61" s="809">
        <v>0</v>
      </c>
    </row>
    <row r="62" spans="1:14" s="721" customFormat="1" ht="15" customHeight="1">
      <c r="A62" s="1282"/>
      <c r="B62" s="1283"/>
      <c r="C62" s="1284"/>
      <c r="D62" s="1285"/>
      <c r="E62" s="1288"/>
      <c r="F62" s="1289"/>
      <c r="G62" s="814" t="s">
        <v>22</v>
      </c>
      <c r="H62" s="808">
        <f t="shared" si="11"/>
        <v>213000</v>
      </c>
      <c r="I62" s="809">
        <f t="shared" si="12"/>
        <v>213000</v>
      </c>
      <c r="J62" s="809">
        <v>0</v>
      </c>
      <c r="K62" s="809">
        <v>213000</v>
      </c>
      <c r="L62" s="809">
        <f t="shared" si="14"/>
        <v>0</v>
      </c>
      <c r="M62" s="809">
        <v>0</v>
      </c>
      <c r="N62" s="809">
        <v>0</v>
      </c>
    </row>
    <row r="63" spans="1:14" s="721" customFormat="1" ht="15" customHeight="1">
      <c r="A63" s="1282"/>
      <c r="B63" s="1283"/>
      <c r="C63" s="1284"/>
      <c r="D63" s="1285"/>
      <c r="E63" s="1290"/>
      <c r="F63" s="1291"/>
      <c r="G63" s="811" t="s">
        <v>23</v>
      </c>
      <c r="H63" s="808">
        <f>I63+L63</f>
        <v>19953000</v>
      </c>
      <c r="I63" s="809">
        <f>J63+K63</f>
        <v>19953000</v>
      </c>
      <c r="J63" s="809">
        <f>J61+J62</f>
        <v>0</v>
      </c>
      <c r="K63" s="809">
        <f>K61+K62</f>
        <v>19953000</v>
      </c>
      <c r="L63" s="809">
        <f>M63+N63</f>
        <v>0</v>
      </c>
      <c r="M63" s="809">
        <f>M61+M62</f>
        <v>0</v>
      </c>
      <c r="N63" s="809">
        <f>N61+N62</f>
        <v>0</v>
      </c>
    </row>
    <row r="64" spans="1:14" s="734" customFormat="1" ht="24" customHeight="1">
      <c r="A64" s="1269" t="s">
        <v>1068</v>
      </c>
      <c r="B64" s="1293"/>
      <c r="C64" s="1293"/>
      <c r="D64" s="1293"/>
      <c r="E64" s="1293"/>
      <c r="F64" s="1294"/>
      <c r="G64" s="815" t="s">
        <v>21</v>
      </c>
      <c r="H64" s="804">
        <f t="shared" si="11"/>
        <v>2000000</v>
      </c>
      <c r="I64" s="805">
        <f t="shared" si="12"/>
        <v>2000000</v>
      </c>
      <c r="J64" s="805">
        <f t="shared" ref="J64:K66" si="18">J67</f>
        <v>0</v>
      </c>
      <c r="K64" s="805">
        <f t="shared" si="18"/>
        <v>2000000</v>
      </c>
      <c r="L64" s="805">
        <f t="shared" si="14"/>
        <v>0</v>
      </c>
      <c r="M64" s="805">
        <f t="shared" ref="M64:N66" si="19">M67</f>
        <v>0</v>
      </c>
      <c r="N64" s="805">
        <f t="shared" si="19"/>
        <v>0</v>
      </c>
    </row>
    <row r="65" spans="1:14" s="734" customFormat="1" ht="24" customHeight="1">
      <c r="A65" s="1295"/>
      <c r="B65" s="1296"/>
      <c r="C65" s="1296"/>
      <c r="D65" s="1296"/>
      <c r="E65" s="1296"/>
      <c r="F65" s="1297"/>
      <c r="G65" s="816" t="s">
        <v>22</v>
      </c>
      <c r="H65" s="804">
        <f t="shared" si="11"/>
        <v>9750</v>
      </c>
      <c r="I65" s="805">
        <f t="shared" si="12"/>
        <v>9750</v>
      </c>
      <c r="J65" s="805">
        <f t="shared" si="18"/>
        <v>0</v>
      </c>
      <c r="K65" s="805">
        <f t="shared" si="18"/>
        <v>9750</v>
      </c>
      <c r="L65" s="805">
        <f t="shared" si="14"/>
        <v>0</v>
      </c>
      <c r="M65" s="805">
        <f t="shared" si="19"/>
        <v>0</v>
      </c>
      <c r="N65" s="805">
        <f t="shared" si="19"/>
        <v>0</v>
      </c>
    </row>
    <row r="66" spans="1:14" s="734" customFormat="1" ht="24" customHeight="1">
      <c r="A66" s="1298"/>
      <c r="B66" s="1299"/>
      <c r="C66" s="1299"/>
      <c r="D66" s="1299"/>
      <c r="E66" s="1299"/>
      <c r="F66" s="1300"/>
      <c r="G66" s="817" t="s">
        <v>23</v>
      </c>
      <c r="H66" s="804">
        <f t="shared" si="11"/>
        <v>2009750</v>
      </c>
      <c r="I66" s="805">
        <f t="shared" si="12"/>
        <v>2009750</v>
      </c>
      <c r="J66" s="805">
        <f t="shared" si="18"/>
        <v>0</v>
      </c>
      <c r="K66" s="805">
        <f t="shared" si="18"/>
        <v>2009750</v>
      </c>
      <c r="L66" s="805">
        <f t="shared" si="14"/>
        <v>0</v>
      </c>
      <c r="M66" s="805">
        <f t="shared" si="19"/>
        <v>0</v>
      </c>
      <c r="N66" s="805">
        <f t="shared" si="19"/>
        <v>0</v>
      </c>
    </row>
    <row r="67" spans="1:14" s="721" customFormat="1" ht="15" customHeight="1">
      <c r="A67" s="1278" t="s">
        <v>300</v>
      </c>
      <c r="B67" s="1279"/>
      <c r="C67" s="1280" t="s">
        <v>301</v>
      </c>
      <c r="D67" s="1281"/>
      <c r="E67" s="1254" t="s">
        <v>1065</v>
      </c>
      <c r="F67" s="1255"/>
      <c r="G67" s="778" t="s">
        <v>21</v>
      </c>
      <c r="H67" s="808">
        <f t="shared" si="11"/>
        <v>2000000</v>
      </c>
      <c r="I67" s="809">
        <f t="shared" si="12"/>
        <v>2000000</v>
      </c>
      <c r="J67" s="809">
        <v>0</v>
      </c>
      <c r="K67" s="809">
        <v>2000000</v>
      </c>
      <c r="L67" s="809">
        <f t="shared" si="14"/>
        <v>0</v>
      </c>
      <c r="M67" s="809">
        <v>0</v>
      </c>
      <c r="N67" s="809">
        <v>0</v>
      </c>
    </row>
    <row r="68" spans="1:14" s="721" customFormat="1" ht="15" customHeight="1">
      <c r="A68" s="1282"/>
      <c r="B68" s="1283"/>
      <c r="C68" s="1284"/>
      <c r="D68" s="1285"/>
      <c r="E68" s="1288"/>
      <c r="F68" s="1289"/>
      <c r="G68" s="814" t="s">
        <v>22</v>
      </c>
      <c r="H68" s="808">
        <f t="shared" si="11"/>
        <v>9750</v>
      </c>
      <c r="I68" s="809">
        <f t="shared" si="12"/>
        <v>9750</v>
      </c>
      <c r="J68" s="809">
        <v>0</v>
      </c>
      <c r="K68" s="809">
        <v>9750</v>
      </c>
      <c r="L68" s="809">
        <f t="shared" si="14"/>
        <v>0</v>
      </c>
      <c r="M68" s="809">
        <v>0</v>
      </c>
      <c r="N68" s="809">
        <v>0</v>
      </c>
    </row>
    <row r="69" spans="1:14" s="721" customFormat="1" ht="15" customHeight="1">
      <c r="A69" s="1282"/>
      <c r="B69" s="1283"/>
      <c r="C69" s="1284"/>
      <c r="D69" s="1285"/>
      <c r="E69" s="1290"/>
      <c r="F69" s="1291"/>
      <c r="G69" s="811" t="s">
        <v>23</v>
      </c>
      <c r="H69" s="808">
        <f>I69+L69</f>
        <v>2009750</v>
      </c>
      <c r="I69" s="809">
        <f>J69+K69</f>
        <v>2009750</v>
      </c>
      <c r="J69" s="809">
        <f>J67+J68</f>
        <v>0</v>
      </c>
      <c r="K69" s="809">
        <f>K67+K68</f>
        <v>2009750</v>
      </c>
      <c r="L69" s="809">
        <f>M69+N69</f>
        <v>0</v>
      </c>
      <c r="M69" s="809">
        <f>M67+M68</f>
        <v>0</v>
      </c>
      <c r="N69" s="809">
        <f>N67+N68</f>
        <v>0</v>
      </c>
    </row>
    <row r="70" spans="1:14" s="734" customFormat="1" ht="15" customHeight="1">
      <c r="A70" s="1269" t="s">
        <v>400</v>
      </c>
      <c r="B70" s="1293"/>
      <c r="C70" s="1293"/>
      <c r="D70" s="1293"/>
      <c r="E70" s="1293"/>
      <c r="F70" s="1294"/>
      <c r="G70" s="815" t="s">
        <v>21</v>
      </c>
      <c r="H70" s="804">
        <f t="shared" si="11"/>
        <v>9934500</v>
      </c>
      <c r="I70" s="805">
        <f t="shared" si="12"/>
        <v>9934500</v>
      </c>
      <c r="J70" s="805">
        <f t="shared" ref="J70:K72" si="20">J73</f>
        <v>0</v>
      </c>
      <c r="K70" s="805">
        <f t="shared" si="20"/>
        <v>9934500</v>
      </c>
      <c r="L70" s="805">
        <f t="shared" si="14"/>
        <v>0</v>
      </c>
      <c r="M70" s="805">
        <f t="shared" ref="M70:N72" si="21">M73</f>
        <v>0</v>
      </c>
      <c r="N70" s="805">
        <f t="shared" si="21"/>
        <v>0</v>
      </c>
    </row>
    <row r="71" spans="1:14" s="734" customFormat="1" ht="15" customHeight="1">
      <c r="A71" s="1295"/>
      <c r="B71" s="1296"/>
      <c r="C71" s="1296"/>
      <c r="D71" s="1296"/>
      <c r="E71" s="1296"/>
      <c r="F71" s="1297"/>
      <c r="G71" s="816" t="s">
        <v>22</v>
      </c>
      <c r="H71" s="804">
        <f t="shared" si="11"/>
        <v>99300</v>
      </c>
      <c r="I71" s="805">
        <f t="shared" si="12"/>
        <v>99300</v>
      </c>
      <c r="J71" s="805">
        <f t="shared" si="20"/>
        <v>0</v>
      </c>
      <c r="K71" s="805">
        <f t="shared" si="20"/>
        <v>99300</v>
      </c>
      <c r="L71" s="805">
        <f t="shared" si="14"/>
        <v>0</v>
      </c>
      <c r="M71" s="805">
        <f t="shared" si="21"/>
        <v>0</v>
      </c>
      <c r="N71" s="805">
        <f t="shared" si="21"/>
        <v>0</v>
      </c>
    </row>
    <row r="72" spans="1:14" s="734" customFormat="1" ht="15" customHeight="1">
      <c r="A72" s="1298"/>
      <c r="B72" s="1299"/>
      <c r="C72" s="1299"/>
      <c r="D72" s="1299"/>
      <c r="E72" s="1299"/>
      <c r="F72" s="1300"/>
      <c r="G72" s="817" t="s">
        <v>23</v>
      </c>
      <c r="H72" s="804">
        <f t="shared" si="11"/>
        <v>10033800</v>
      </c>
      <c r="I72" s="805">
        <f t="shared" si="12"/>
        <v>10033800</v>
      </c>
      <c r="J72" s="805">
        <f t="shared" si="20"/>
        <v>0</v>
      </c>
      <c r="K72" s="805">
        <f t="shared" si="20"/>
        <v>10033800</v>
      </c>
      <c r="L72" s="805">
        <f t="shared" si="14"/>
        <v>0</v>
      </c>
      <c r="M72" s="805">
        <f t="shared" si="21"/>
        <v>0</v>
      </c>
      <c r="N72" s="805">
        <f t="shared" si="21"/>
        <v>0</v>
      </c>
    </row>
    <row r="73" spans="1:14" s="721" customFormat="1" ht="15" customHeight="1">
      <c r="A73" s="1278" t="s">
        <v>300</v>
      </c>
      <c r="B73" s="1279"/>
      <c r="C73" s="1280" t="s">
        <v>398</v>
      </c>
      <c r="D73" s="1281"/>
      <c r="E73" s="1254" t="s">
        <v>1065</v>
      </c>
      <c r="F73" s="1255"/>
      <c r="G73" s="778" t="s">
        <v>21</v>
      </c>
      <c r="H73" s="808">
        <f t="shared" si="11"/>
        <v>9934500</v>
      </c>
      <c r="I73" s="809">
        <f t="shared" si="12"/>
        <v>9934500</v>
      </c>
      <c r="J73" s="809">
        <v>0</v>
      </c>
      <c r="K73" s="809">
        <v>9934500</v>
      </c>
      <c r="L73" s="809">
        <f t="shared" si="14"/>
        <v>0</v>
      </c>
      <c r="M73" s="809">
        <v>0</v>
      </c>
      <c r="N73" s="809">
        <v>0</v>
      </c>
    </row>
    <row r="74" spans="1:14" s="721" customFormat="1" ht="15" customHeight="1">
      <c r="A74" s="1282"/>
      <c r="B74" s="1283"/>
      <c r="C74" s="1284"/>
      <c r="D74" s="1285"/>
      <c r="E74" s="1256"/>
      <c r="F74" s="1257"/>
      <c r="G74" s="782" t="s">
        <v>22</v>
      </c>
      <c r="H74" s="808">
        <f t="shared" si="11"/>
        <v>99300</v>
      </c>
      <c r="I74" s="809">
        <f t="shared" si="12"/>
        <v>99300</v>
      </c>
      <c r="J74" s="809">
        <v>0</v>
      </c>
      <c r="K74" s="809">
        <v>99300</v>
      </c>
      <c r="L74" s="809">
        <f t="shared" si="14"/>
        <v>0</v>
      </c>
      <c r="M74" s="809">
        <v>0</v>
      </c>
      <c r="N74" s="809">
        <v>0</v>
      </c>
    </row>
    <row r="75" spans="1:14" s="721" customFormat="1" ht="15" customHeight="1">
      <c r="A75" s="1282"/>
      <c r="B75" s="1283"/>
      <c r="C75" s="1284"/>
      <c r="D75" s="1285"/>
      <c r="E75" s="1258"/>
      <c r="F75" s="1259"/>
      <c r="G75" s="811" t="s">
        <v>23</v>
      </c>
      <c r="H75" s="808">
        <f>I75+L75</f>
        <v>10033800</v>
      </c>
      <c r="I75" s="809">
        <f>J75+K75</f>
        <v>10033800</v>
      </c>
      <c r="J75" s="809">
        <f>J73+J74</f>
        <v>0</v>
      </c>
      <c r="K75" s="809">
        <f>K73+K74</f>
        <v>10033800</v>
      </c>
      <c r="L75" s="809">
        <f>M75+N75</f>
        <v>0</v>
      </c>
      <c r="M75" s="809">
        <f>M73+M74</f>
        <v>0</v>
      </c>
      <c r="N75" s="809">
        <f>N73+N74</f>
        <v>0</v>
      </c>
    </row>
    <row r="76" spans="1:14" s="734" customFormat="1" ht="15" customHeight="1">
      <c r="A76" s="1269" t="s">
        <v>1069</v>
      </c>
      <c r="B76" s="1293"/>
      <c r="C76" s="1293"/>
      <c r="D76" s="1293"/>
      <c r="E76" s="1293"/>
      <c r="F76" s="1294"/>
      <c r="G76" s="815" t="s">
        <v>21</v>
      </c>
      <c r="H76" s="804">
        <f t="shared" si="11"/>
        <v>2100000</v>
      </c>
      <c r="I76" s="805">
        <f t="shared" si="12"/>
        <v>2100000</v>
      </c>
      <c r="J76" s="805">
        <f t="shared" ref="J76:K78" si="22">J79</f>
        <v>0</v>
      </c>
      <c r="K76" s="805">
        <f t="shared" si="22"/>
        <v>2100000</v>
      </c>
      <c r="L76" s="805">
        <f t="shared" si="14"/>
        <v>0</v>
      </c>
      <c r="M76" s="805">
        <f t="shared" ref="M76:N78" si="23">M79</f>
        <v>0</v>
      </c>
      <c r="N76" s="805">
        <f t="shared" si="23"/>
        <v>0</v>
      </c>
    </row>
    <row r="77" spans="1:14" s="734" customFormat="1" ht="15" customHeight="1">
      <c r="A77" s="1295"/>
      <c r="B77" s="1296"/>
      <c r="C77" s="1296"/>
      <c r="D77" s="1296"/>
      <c r="E77" s="1296"/>
      <c r="F77" s="1297"/>
      <c r="G77" s="816" t="s">
        <v>22</v>
      </c>
      <c r="H77" s="804">
        <f t="shared" si="11"/>
        <v>17625</v>
      </c>
      <c r="I77" s="805">
        <f t="shared" si="12"/>
        <v>17625</v>
      </c>
      <c r="J77" s="805">
        <f t="shared" si="22"/>
        <v>0</v>
      </c>
      <c r="K77" s="805">
        <f t="shared" si="22"/>
        <v>17625</v>
      </c>
      <c r="L77" s="805">
        <f t="shared" si="14"/>
        <v>0</v>
      </c>
      <c r="M77" s="805">
        <f t="shared" si="23"/>
        <v>0</v>
      </c>
      <c r="N77" s="805">
        <f t="shared" si="23"/>
        <v>0</v>
      </c>
    </row>
    <row r="78" spans="1:14" s="734" customFormat="1" ht="15" customHeight="1">
      <c r="A78" s="1298"/>
      <c r="B78" s="1299"/>
      <c r="C78" s="1299"/>
      <c r="D78" s="1299"/>
      <c r="E78" s="1299"/>
      <c r="F78" s="1300"/>
      <c r="G78" s="817" t="s">
        <v>23</v>
      </c>
      <c r="H78" s="804">
        <f t="shared" si="11"/>
        <v>2117625</v>
      </c>
      <c r="I78" s="805">
        <f t="shared" si="12"/>
        <v>2117625</v>
      </c>
      <c r="J78" s="805">
        <f t="shared" si="22"/>
        <v>0</v>
      </c>
      <c r="K78" s="805">
        <f t="shared" si="22"/>
        <v>2117625</v>
      </c>
      <c r="L78" s="805">
        <f t="shared" si="14"/>
        <v>0</v>
      </c>
      <c r="M78" s="805">
        <f t="shared" si="23"/>
        <v>0</v>
      </c>
      <c r="N78" s="805">
        <f t="shared" si="23"/>
        <v>0</v>
      </c>
    </row>
    <row r="79" spans="1:14" s="721" customFormat="1" ht="15" customHeight="1">
      <c r="A79" s="1278" t="s">
        <v>300</v>
      </c>
      <c r="B79" s="1279"/>
      <c r="C79" s="1280" t="s">
        <v>309</v>
      </c>
      <c r="D79" s="1281"/>
      <c r="E79" s="1254" t="s">
        <v>1065</v>
      </c>
      <c r="F79" s="1255"/>
      <c r="G79" s="778" t="s">
        <v>21</v>
      </c>
      <c r="H79" s="808">
        <f t="shared" si="11"/>
        <v>2100000</v>
      </c>
      <c r="I79" s="809">
        <f t="shared" si="12"/>
        <v>2100000</v>
      </c>
      <c r="J79" s="809">
        <v>0</v>
      </c>
      <c r="K79" s="809">
        <v>2100000</v>
      </c>
      <c r="L79" s="809">
        <f t="shared" si="14"/>
        <v>0</v>
      </c>
      <c r="M79" s="809">
        <v>0</v>
      </c>
      <c r="N79" s="809">
        <v>0</v>
      </c>
    </row>
    <row r="80" spans="1:14" s="721" customFormat="1" ht="15" customHeight="1">
      <c r="A80" s="1282"/>
      <c r="B80" s="1283"/>
      <c r="C80" s="1284"/>
      <c r="D80" s="1285"/>
      <c r="E80" s="1256"/>
      <c r="F80" s="1257"/>
      <c r="G80" s="782" t="s">
        <v>22</v>
      </c>
      <c r="H80" s="808">
        <f t="shared" si="11"/>
        <v>17625</v>
      </c>
      <c r="I80" s="809">
        <f t="shared" si="12"/>
        <v>17625</v>
      </c>
      <c r="J80" s="809">
        <v>0</v>
      </c>
      <c r="K80" s="809">
        <v>17625</v>
      </c>
      <c r="L80" s="809">
        <f t="shared" si="14"/>
        <v>0</v>
      </c>
      <c r="M80" s="809">
        <v>0</v>
      </c>
      <c r="N80" s="809">
        <v>0</v>
      </c>
    </row>
    <row r="81" spans="1:14" s="721" customFormat="1" ht="15" customHeight="1">
      <c r="A81" s="1282"/>
      <c r="B81" s="1283"/>
      <c r="C81" s="1284"/>
      <c r="D81" s="1285"/>
      <c r="E81" s="1258"/>
      <c r="F81" s="1259"/>
      <c r="G81" s="811" t="s">
        <v>23</v>
      </c>
      <c r="H81" s="808">
        <f t="shared" si="11"/>
        <v>2117625</v>
      </c>
      <c r="I81" s="809">
        <f t="shared" si="12"/>
        <v>2117625</v>
      </c>
      <c r="J81" s="809">
        <f>J79+J80</f>
        <v>0</v>
      </c>
      <c r="K81" s="809">
        <f>K79+K80</f>
        <v>2117625</v>
      </c>
      <c r="L81" s="809">
        <f>M81+N81</f>
        <v>0</v>
      </c>
      <c r="M81" s="809">
        <f>M79+M80</f>
        <v>0</v>
      </c>
      <c r="N81" s="809">
        <f>N79+N80</f>
        <v>0</v>
      </c>
    </row>
    <row r="82" spans="1:14" s="734" customFormat="1" ht="15" customHeight="1">
      <c r="A82" s="1269" t="s">
        <v>311</v>
      </c>
      <c r="B82" s="1293"/>
      <c r="C82" s="1293"/>
      <c r="D82" s="1293"/>
      <c r="E82" s="1293"/>
      <c r="F82" s="1294"/>
      <c r="G82" s="815" t="s">
        <v>21</v>
      </c>
      <c r="H82" s="804">
        <f t="shared" si="11"/>
        <v>2811680</v>
      </c>
      <c r="I82" s="805">
        <f t="shared" si="12"/>
        <v>2811680</v>
      </c>
      <c r="J82" s="805">
        <f t="shared" ref="J82:K84" si="24">J85+J88</f>
        <v>0</v>
      </c>
      <c r="K82" s="805">
        <f t="shared" si="24"/>
        <v>2811680</v>
      </c>
      <c r="L82" s="805">
        <f t="shared" si="14"/>
        <v>0</v>
      </c>
      <c r="M82" s="805">
        <f t="shared" ref="M82:N84" si="25">M85+M88</f>
        <v>0</v>
      </c>
      <c r="N82" s="805">
        <f t="shared" si="25"/>
        <v>0</v>
      </c>
    </row>
    <row r="83" spans="1:14" s="734" customFormat="1" ht="15" customHeight="1">
      <c r="A83" s="1295"/>
      <c r="B83" s="1296"/>
      <c r="C83" s="1296"/>
      <c r="D83" s="1296"/>
      <c r="E83" s="1296"/>
      <c r="F83" s="1297"/>
      <c r="G83" s="816" t="s">
        <v>22</v>
      </c>
      <c r="H83" s="804">
        <f t="shared" si="11"/>
        <v>27750</v>
      </c>
      <c r="I83" s="805">
        <f t="shared" si="12"/>
        <v>27750</v>
      </c>
      <c r="J83" s="805">
        <f t="shared" si="24"/>
        <v>0</v>
      </c>
      <c r="K83" s="805">
        <f t="shared" si="24"/>
        <v>27750</v>
      </c>
      <c r="L83" s="805">
        <f t="shared" si="14"/>
        <v>0</v>
      </c>
      <c r="M83" s="805">
        <f t="shared" si="25"/>
        <v>0</v>
      </c>
      <c r="N83" s="805">
        <f t="shared" si="25"/>
        <v>0</v>
      </c>
    </row>
    <row r="84" spans="1:14" s="734" customFormat="1" ht="15" customHeight="1">
      <c r="A84" s="1298"/>
      <c r="B84" s="1299"/>
      <c r="C84" s="1299"/>
      <c r="D84" s="1299"/>
      <c r="E84" s="1299"/>
      <c r="F84" s="1300"/>
      <c r="G84" s="817" t="s">
        <v>23</v>
      </c>
      <c r="H84" s="804">
        <f t="shared" si="11"/>
        <v>2839430</v>
      </c>
      <c r="I84" s="805">
        <f t="shared" si="12"/>
        <v>2839430</v>
      </c>
      <c r="J84" s="805">
        <f t="shared" si="24"/>
        <v>0</v>
      </c>
      <c r="K84" s="805">
        <f t="shared" si="24"/>
        <v>2839430</v>
      </c>
      <c r="L84" s="805">
        <f t="shared" si="14"/>
        <v>0</v>
      </c>
      <c r="M84" s="805">
        <f t="shared" si="25"/>
        <v>0</v>
      </c>
      <c r="N84" s="805">
        <f t="shared" si="25"/>
        <v>0</v>
      </c>
    </row>
    <row r="85" spans="1:14" s="721" customFormat="1" ht="15" customHeight="1">
      <c r="A85" s="1278" t="s">
        <v>300</v>
      </c>
      <c r="B85" s="1279"/>
      <c r="C85" s="1280" t="s">
        <v>309</v>
      </c>
      <c r="D85" s="1281"/>
      <c r="E85" s="1254" t="s">
        <v>1065</v>
      </c>
      <c r="F85" s="1255"/>
      <c r="G85" s="778" t="s">
        <v>21</v>
      </c>
      <c r="H85" s="808">
        <f t="shared" si="11"/>
        <v>2801180</v>
      </c>
      <c r="I85" s="809">
        <f t="shared" si="12"/>
        <v>2801180</v>
      </c>
      <c r="J85" s="809">
        <v>0</v>
      </c>
      <c r="K85" s="809">
        <v>2801180</v>
      </c>
      <c r="L85" s="809">
        <f t="shared" si="14"/>
        <v>0</v>
      </c>
      <c r="M85" s="809">
        <v>0</v>
      </c>
      <c r="N85" s="809">
        <v>0</v>
      </c>
    </row>
    <row r="86" spans="1:14" s="721" customFormat="1" ht="15" customHeight="1">
      <c r="A86" s="1282"/>
      <c r="B86" s="1283"/>
      <c r="C86" s="1284"/>
      <c r="D86" s="1285"/>
      <c r="E86" s="1288"/>
      <c r="F86" s="1289"/>
      <c r="G86" s="814" t="s">
        <v>22</v>
      </c>
      <c r="H86" s="808">
        <f t="shared" si="11"/>
        <v>27750</v>
      </c>
      <c r="I86" s="809">
        <f t="shared" si="12"/>
        <v>27750</v>
      </c>
      <c r="J86" s="809">
        <v>0</v>
      </c>
      <c r="K86" s="809">
        <v>27750</v>
      </c>
      <c r="L86" s="809">
        <f t="shared" si="14"/>
        <v>0</v>
      </c>
      <c r="M86" s="809">
        <v>0</v>
      </c>
      <c r="N86" s="809">
        <v>0</v>
      </c>
    </row>
    <row r="87" spans="1:14" s="721" customFormat="1" ht="15" customHeight="1">
      <c r="A87" s="1301"/>
      <c r="B87" s="1302"/>
      <c r="C87" s="1303"/>
      <c r="D87" s="1304"/>
      <c r="E87" s="1290"/>
      <c r="F87" s="1291"/>
      <c r="G87" s="818" t="s">
        <v>23</v>
      </c>
      <c r="H87" s="779">
        <f t="shared" si="11"/>
        <v>2828930</v>
      </c>
      <c r="I87" s="780">
        <f t="shared" si="12"/>
        <v>2828930</v>
      </c>
      <c r="J87" s="780">
        <f>J85+J86</f>
        <v>0</v>
      </c>
      <c r="K87" s="780">
        <f>K85+K86</f>
        <v>2828930</v>
      </c>
      <c r="L87" s="780">
        <f>M87+N87</f>
        <v>0</v>
      </c>
      <c r="M87" s="780">
        <f>M85+M86</f>
        <v>0</v>
      </c>
      <c r="N87" s="780">
        <f>N85+N86</f>
        <v>0</v>
      </c>
    </row>
    <row r="88" spans="1:14" s="812" customFormat="1" ht="15" hidden="1" customHeight="1">
      <c r="A88" s="1286"/>
      <c r="B88" s="1287"/>
      <c r="C88" s="1260"/>
      <c r="D88" s="1261"/>
      <c r="E88" s="1288" t="s">
        <v>1070</v>
      </c>
      <c r="F88" s="1289"/>
      <c r="G88" s="819" t="s">
        <v>21</v>
      </c>
      <c r="H88" s="820">
        <f>I88+L88</f>
        <v>10500</v>
      </c>
      <c r="I88" s="821">
        <f>J88+K88</f>
        <v>10500</v>
      </c>
      <c r="J88" s="821">
        <v>0</v>
      </c>
      <c r="K88" s="821">
        <v>10500</v>
      </c>
      <c r="L88" s="821">
        <f>M88+N88</f>
        <v>0</v>
      </c>
      <c r="M88" s="821">
        <v>0</v>
      </c>
      <c r="N88" s="821">
        <v>0</v>
      </c>
    </row>
    <row r="89" spans="1:14" s="812" customFormat="1" ht="15" hidden="1" customHeight="1">
      <c r="A89" s="1286"/>
      <c r="B89" s="1287"/>
      <c r="C89" s="1260"/>
      <c r="D89" s="1261"/>
      <c r="E89" s="1288"/>
      <c r="F89" s="1289"/>
      <c r="G89" s="814" t="s">
        <v>22</v>
      </c>
      <c r="H89" s="779">
        <f>I89+L89</f>
        <v>0</v>
      </c>
      <c r="I89" s="780">
        <f>J89+K89</f>
        <v>0</v>
      </c>
      <c r="J89" s="780">
        <v>0</v>
      </c>
      <c r="K89" s="780">
        <v>0</v>
      </c>
      <c r="L89" s="780">
        <f>M89+N89</f>
        <v>0</v>
      </c>
      <c r="M89" s="780">
        <v>0</v>
      </c>
      <c r="N89" s="780">
        <v>0</v>
      </c>
    </row>
    <row r="90" spans="1:14" s="721" customFormat="1" ht="15" hidden="1" customHeight="1">
      <c r="A90" s="1282"/>
      <c r="B90" s="1283"/>
      <c r="C90" s="1284"/>
      <c r="D90" s="1285"/>
      <c r="E90" s="1290"/>
      <c r="F90" s="1291"/>
      <c r="G90" s="811" t="s">
        <v>23</v>
      </c>
      <c r="H90" s="808">
        <f>I90+L90</f>
        <v>10500</v>
      </c>
      <c r="I90" s="809">
        <f>J90+K90</f>
        <v>10500</v>
      </c>
      <c r="J90" s="809">
        <f>J88+J89</f>
        <v>0</v>
      </c>
      <c r="K90" s="809">
        <f>K88+K89</f>
        <v>10500</v>
      </c>
      <c r="L90" s="809">
        <f>M90+N90</f>
        <v>0</v>
      </c>
      <c r="M90" s="809">
        <f>M88+M89</f>
        <v>0</v>
      </c>
      <c r="N90" s="809">
        <f>N88+N89</f>
        <v>0</v>
      </c>
    </row>
    <row r="91" spans="1:14" s="734" customFormat="1" ht="14.45" customHeight="1">
      <c r="A91" s="1269" t="s">
        <v>482</v>
      </c>
      <c r="B91" s="1293"/>
      <c r="C91" s="1293"/>
      <c r="D91" s="1293"/>
      <c r="E91" s="1293"/>
      <c r="F91" s="1294"/>
      <c r="G91" s="815" t="s">
        <v>21</v>
      </c>
      <c r="H91" s="804">
        <f t="shared" si="11"/>
        <v>920714</v>
      </c>
      <c r="I91" s="805">
        <f t="shared" si="12"/>
        <v>920714</v>
      </c>
      <c r="J91" s="805">
        <f t="shared" ref="J91:K93" si="26">J94</f>
        <v>0</v>
      </c>
      <c r="K91" s="805">
        <f t="shared" si="26"/>
        <v>920714</v>
      </c>
      <c r="L91" s="805">
        <f t="shared" si="14"/>
        <v>0</v>
      </c>
      <c r="M91" s="805">
        <f t="shared" ref="M91:N93" si="27">M94</f>
        <v>0</v>
      </c>
      <c r="N91" s="805">
        <f t="shared" si="27"/>
        <v>0</v>
      </c>
    </row>
    <row r="92" spans="1:14" s="734" customFormat="1" ht="14.45" customHeight="1">
      <c r="A92" s="1295"/>
      <c r="B92" s="1296"/>
      <c r="C92" s="1296"/>
      <c r="D92" s="1296"/>
      <c r="E92" s="1296"/>
      <c r="F92" s="1297"/>
      <c r="G92" s="816" t="s">
        <v>22</v>
      </c>
      <c r="H92" s="804">
        <f t="shared" si="11"/>
        <v>7500</v>
      </c>
      <c r="I92" s="805">
        <f t="shared" si="12"/>
        <v>7500</v>
      </c>
      <c r="J92" s="805">
        <f t="shared" si="26"/>
        <v>0</v>
      </c>
      <c r="K92" s="805">
        <f t="shared" si="26"/>
        <v>7500</v>
      </c>
      <c r="L92" s="805">
        <f t="shared" si="14"/>
        <v>0</v>
      </c>
      <c r="M92" s="805">
        <f t="shared" si="27"/>
        <v>0</v>
      </c>
      <c r="N92" s="805">
        <f t="shared" si="27"/>
        <v>0</v>
      </c>
    </row>
    <row r="93" spans="1:14" s="734" customFormat="1" ht="14.45" customHeight="1">
      <c r="A93" s="1298"/>
      <c r="B93" s="1299"/>
      <c r="C93" s="1299"/>
      <c r="D93" s="1299"/>
      <c r="E93" s="1299"/>
      <c r="F93" s="1300"/>
      <c r="G93" s="816" t="s">
        <v>23</v>
      </c>
      <c r="H93" s="804">
        <f t="shared" si="11"/>
        <v>928214</v>
      </c>
      <c r="I93" s="805">
        <f t="shared" si="12"/>
        <v>928214</v>
      </c>
      <c r="J93" s="805">
        <f t="shared" si="26"/>
        <v>0</v>
      </c>
      <c r="K93" s="805">
        <f t="shared" si="26"/>
        <v>928214</v>
      </c>
      <c r="L93" s="805">
        <f t="shared" si="14"/>
        <v>0</v>
      </c>
      <c r="M93" s="805">
        <f t="shared" si="27"/>
        <v>0</v>
      </c>
      <c r="N93" s="805">
        <f t="shared" si="27"/>
        <v>0</v>
      </c>
    </row>
    <row r="94" spans="1:14" s="721" customFormat="1" ht="14.45" customHeight="1">
      <c r="A94" s="1278" t="s">
        <v>300</v>
      </c>
      <c r="B94" s="1279"/>
      <c r="C94" s="1280" t="s">
        <v>309</v>
      </c>
      <c r="D94" s="1281"/>
      <c r="E94" s="1254" t="s">
        <v>1071</v>
      </c>
      <c r="F94" s="1255"/>
      <c r="G94" s="814" t="s">
        <v>21</v>
      </c>
      <c r="H94" s="808">
        <f t="shared" si="11"/>
        <v>920714</v>
      </c>
      <c r="I94" s="809">
        <f t="shared" si="12"/>
        <v>920714</v>
      </c>
      <c r="J94" s="809">
        <f t="shared" ref="J94:K96" si="28">J97+J100</f>
        <v>0</v>
      </c>
      <c r="K94" s="809">
        <f t="shared" si="28"/>
        <v>920714</v>
      </c>
      <c r="L94" s="809">
        <f t="shared" si="14"/>
        <v>0</v>
      </c>
      <c r="M94" s="809">
        <f t="shared" ref="M94:N96" si="29">M97+M100</f>
        <v>0</v>
      </c>
      <c r="N94" s="809">
        <f t="shared" si="29"/>
        <v>0</v>
      </c>
    </row>
    <row r="95" spans="1:14" s="721" customFormat="1" ht="14.45" customHeight="1">
      <c r="A95" s="1282"/>
      <c r="B95" s="1283"/>
      <c r="C95" s="1284"/>
      <c r="D95" s="1285"/>
      <c r="E95" s="1288"/>
      <c r="F95" s="1289"/>
      <c r="G95" s="814" t="s">
        <v>22</v>
      </c>
      <c r="H95" s="808">
        <f t="shared" si="11"/>
        <v>7500</v>
      </c>
      <c r="I95" s="809">
        <f t="shared" si="12"/>
        <v>7500</v>
      </c>
      <c r="J95" s="809">
        <f t="shared" si="28"/>
        <v>0</v>
      </c>
      <c r="K95" s="809">
        <f t="shared" si="28"/>
        <v>7500</v>
      </c>
      <c r="L95" s="809">
        <f t="shared" si="14"/>
        <v>0</v>
      </c>
      <c r="M95" s="809">
        <f t="shared" si="29"/>
        <v>0</v>
      </c>
      <c r="N95" s="809">
        <f t="shared" si="29"/>
        <v>0</v>
      </c>
    </row>
    <row r="96" spans="1:14" s="721" customFormat="1" ht="14.45" customHeight="1">
      <c r="A96" s="1282"/>
      <c r="B96" s="1283"/>
      <c r="C96" s="1284"/>
      <c r="D96" s="1285"/>
      <c r="E96" s="1290"/>
      <c r="F96" s="1291"/>
      <c r="G96" s="814" t="s">
        <v>23</v>
      </c>
      <c r="H96" s="808">
        <f t="shared" si="11"/>
        <v>928214</v>
      </c>
      <c r="I96" s="809">
        <f t="shared" si="12"/>
        <v>928214</v>
      </c>
      <c r="J96" s="809">
        <f t="shared" si="28"/>
        <v>0</v>
      </c>
      <c r="K96" s="809">
        <f t="shared" si="28"/>
        <v>928214</v>
      </c>
      <c r="L96" s="809">
        <f t="shared" si="14"/>
        <v>0</v>
      </c>
      <c r="M96" s="809">
        <f t="shared" si="29"/>
        <v>0</v>
      </c>
      <c r="N96" s="809">
        <f t="shared" si="29"/>
        <v>0</v>
      </c>
    </row>
    <row r="97" spans="1:14" s="825" customFormat="1" ht="14.45" customHeight="1">
      <c r="A97" s="1305"/>
      <c r="B97" s="1306"/>
      <c r="C97" s="1307"/>
      <c r="D97" s="1308"/>
      <c r="E97" s="1309" t="s">
        <v>1072</v>
      </c>
      <c r="F97" s="1310"/>
      <c r="G97" s="822" t="s">
        <v>21</v>
      </c>
      <c r="H97" s="823">
        <f t="shared" si="11"/>
        <v>850850</v>
      </c>
      <c r="I97" s="824">
        <f t="shared" si="12"/>
        <v>850850</v>
      </c>
      <c r="J97" s="824">
        <v>0</v>
      </c>
      <c r="K97" s="824">
        <v>850850</v>
      </c>
      <c r="L97" s="824">
        <f t="shared" si="14"/>
        <v>0</v>
      </c>
      <c r="M97" s="824">
        <v>0</v>
      </c>
      <c r="N97" s="824">
        <v>0</v>
      </c>
    </row>
    <row r="98" spans="1:14" s="825" customFormat="1" ht="14.45" customHeight="1">
      <c r="A98" s="1305"/>
      <c r="B98" s="1306"/>
      <c r="C98" s="1307"/>
      <c r="D98" s="1308"/>
      <c r="E98" s="1256"/>
      <c r="F98" s="1257"/>
      <c r="G98" s="826" t="s">
        <v>22</v>
      </c>
      <c r="H98" s="823">
        <f t="shared" si="11"/>
        <v>7500</v>
      </c>
      <c r="I98" s="824">
        <f t="shared" si="12"/>
        <v>7500</v>
      </c>
      <c r="J98" s="824">
        <v>0</v>
      </c>
      <c r="K98" s="824">
        <v>7500</v>
      </c>
      <c r="L98" s="824">
        <f t="shared" si="14"/>
        <v>0</v>
      </c>
      <c r="M98" s="824">
        <v>0</v>
      </c>
      <c r="N98" s="824">
        <v>0</v>
      </c>
    </row>
    <row r="99" spans="1:14" s="825" customFormat="1" ht="14.45" customHeight="1">
      <c r="A99" s="1305"/>
      <c r="B99" s="1306"/>
      <c r="C99" s="1307"/>
      <c r="D99" s="1308"/>
      <c r="E99" s="1258"/>
      <c r="F99" s="1259"/>
      <c r="G99" s="826" t="s">
        <v>23</v>
      </c>
      <c r="H99" s="823">
        <f t="shared" si="11"/>
        <v>858350</v>
      </c>
      <c r="I99" s="824">
        <f t="shared" si="12"/>
        <v>858350</v>
      </c>
      <c r="J99" s="824">
        <f>J97+J98</f>
        <v>0</v>
      </c>
      <c r="K99" s="824">
        <f>K97+K98</f>
        <v>858350</v>
      </c>
      <c r="L99" s="824">
        <f>M99+N99</f>
        <v>0</v>
      </c>
      <c r="M99" s="824">
        <f>M97+M98</f>
        <v>0</v>
      </c>
      <c r="N99" s="824">
        <f>N97+N98</f>
        <v>0</v>
      </c>
    </row>
    <row r="100" spans="1:14" s="825" customFormat="1" ht="15" hidden="1" customHeight="1">
      <c r="A100" s="1305"/>
      <c r="B100" s="1306"/>
      <c r="C100" s="1307"/>
      <c r="D100" s="1308"/>
      <c r="E100" s="1309" t="s">
        <v>1073</v>
      </c>
      <c r="F100" s="1310"/>
      <c r="G100" s="822" t="s">
        <v>21</v>
      </c>
      <c r="H100" s="827">
        <f t="shared" si="11"/>
        <v>69864</v>
      </c>
      <c r="I100" s="828">
        <f t="shared" si="12"/>
        <v>69864</v>
      </c>
      <c r="J100" s="828">
        <v>0</v>
      </c>
      <c r="K100" s="828">
        <v>69864</v>
      </c>
      <c r="L100" s="824">
        <f>M100+N100</f>
        <v>0</v>
      </c>
      <c r="M100" s="828">
        <v>0</v>
      </c>
      <c r="N100" s="828">
        <v>0</v>
      </c>
    </row>
    <row r="101" spans="1:14" s="825" customFormat="1" ht="15" hidden="1" customHeight="1">
      <c r="A101" s="1305"/>
      <c r="B101" s="1306"/>
      <c r="C101" s="1307"/>
      <c r="D101" s="1308"/>
      <c r="E101" s="1311"/>
      <c r="F101" s="1312"/>
      <c r="G101" s="822" t="s">
        <v>22</v>
      </c>
      <c r="H101" s="827">
        <f t="shared" si="11"/>
        <v>0</v>
      </c>
      <c r="I101" s="828">
        <f t="shared" si="12"/>
        <v>0</v>
      </c>
      <c r="J101" s="828">
        <v>0</v>
      </c>
      <c r="K101" s="828">
        <v>0</v>
      </c>
      <c r="L101" s="824">
        <f>M101+N101</f>
        <v>0</v>
      </c>
      <c r="M101" s="828">
        <v>0</v>
      </c>
      <c r="N101" s="828">
        <v>0</v>
      </c>
    </row>
    <row r="102" spans="1:14" s="825" customFormat="1" ht="15" hidden="1" customHeight="1">
      <c r="A102" s="1305"/>
      <c r="B102" s="1306"/>
      <c r="C102" s="1307"/>
      <c r="D102" s="1308"/>
      <c r="E102" s="1313"/>
      <c r="F102" s="1314"/>
      <c r="G102" s="826" t="s">
        <v>23</v>
      </c>
      <c r="H102" s="823">
        <f>I102+L102</f>
        <v>69864</v>
      </c>
      <c r="I102" s="824">
        <f>J102+K102</f>
        <v>69864</v>
      </c>
      <c r="J102" s="824">
        <f>J100+J101</f>
        <v>0</v>
      </c>
      <c r="K102" s="824">
        <f>K100+K101</f>
        <v>69864</v>
      </c>
      <c r="L102" s="824">
        <f>M102+N102</f>
        <v>0</v>
      </c>
      <c r="M102" s="824">
        <f>M100+M101</f>
        <v>0</v>
      </c>
      <c r="N102" s="824">
        <f>N100+N101</f>
        <v>0</v>
      </c>
    </row>
    <row r="103" spans="1:14" s="734" customFormat="1" ht="14.85" customHeight="1">
      <c r="A103" s="1269" t="s">
        <v>310</v>
      </c>
      <c r="B103" s="1270"/>
      <c r="C103" s="1270"/>
      <c r="D103" s="1270"/>
      <c r="E103" s="1270"/>
      <c r="F103" s="1271"/>
      <c r="G103" s="769" t="s">
        <v>21</v>
      </c>
      <c r="H103" s="804">
        <f t="shared" si="11"/>
        <v>1200148</v>
      </c>
      <c r="I103" s="805">
        <f t="shared" si="12"/>
        <v>1200148</v>
      </c>
      <c r="J103" s="805">
        <f t="shared" ref="J103:K105" si="30">J106+J109</f>
        <v>0</v>
      </c>
      <c r="K103" s="805">
        <f t="shared" si="30"/>
        <v>1200148</v>
      </c>
      <c r="L103" s="805">
        <f t="shared" ref="L103:L137" si="31">M103+N103</f>
        <v>0</v>
      </c>
      <c r="M103" s="805">
        <f t="shared" ref="M103:N105" si="32">M106+M109</f>
        <v>0</v>
      </c>
      <c r="N103" s="805">
        <f t="shared" si="32"/>
        <v>0</v>
      </c>
    </row>
    <row r="104" spans="1:14" s="734" customFormat="1" ht="14.85" customHeight="1">
      <c r="A104" s="1272"/>
      <c r="B104" s="1315"/>
      <c r="C104" s="1315"/>
      <c r="D104" s="1315"/>
      <c r="E104" s="1315"/>
      <c r="F104" s="1274"/>
      <c r="G104" s="769" t="s">
        <v>22</v>
      </c>
      <c r="H104" s="804">
        <f t="shared" si="11"/>
        <v>66500</v>
      </c>
      <c r="I104" s="805">
        <f t="shared" si="12"/>
        <v>66500</v>
      </c>
      <c r="J104" s="805">
        <f t="shared" si="30"/>
        <v>0</v>
      </c>
      <c r="K104" s="805">
        <f t="shared" si="30"/>
        <v>66500</v>
      </c>
      <c r="L104" s="805">
        <f t="shared" si="31"/>
        <v>0</v>
      </c>
      <c r="M104" s="805">
        <f t="shared" si="32"/>
        <v>0</v>
      </c>
      <c r="N104" s="805">
        <f t="shared" si="32"/>
        <v>0</v>
      </c>
    </row>
    <row r="105" spans="1:14" s="734" customFormat="1" ht="14.85" customHeight="1">
      <c r="A105" s="1275"/>
      <c r="B105" s="1276"/>
      <c r="C105" s="1276"/>
      <c r="D105" s="1276"/>
      <c r="E105" s="1276"/>
      <c r="F105" s="1277"/>
      <c r="G105" s="769" t="s">
        <v>23</v>
      </c>
      <c r="H105" s="804">
        <f t="shared" si="11"/>
        <v>1266648</v>
      </c>
      <c r="I105" s="805">
        <f t="shared" si="12"/>
        <v>1266648</v>
      </c>
      <c r="J105" s="805">
        <f t="shared" si="30"/>
        <v>0</v>
      </c>
      <c r="K105" s="805">
        <f t="shared" si="30"/>
        <v>1266648</v>
      </c>
      <c r="L105" s="805">
        <f t="shared" si="31"/>
        <v>0</v>
      </c>
      <c r="M105" s="805">
        <f t="shared" si="32"/>
        <v>0</v>
      </c>
      <c r="N105" s="805">
        <f t="shared" si="32"/>
        <v>0</v>
      </c>
    </row>
    <row r="106" spans="1:14" s="721" customFormat="1" ht="14.85" customHeight="1">
      <c r="A106" s="1278" t="s">
        <v>300</v>
      </c>
      <c r="B106" s="1279"/>
      <c r="C106" s="1280" t="s">
        <v>309</v>
      </c>
      <c r="D106" s="1281"/>
      <c r="E106" s="1254" t="s">
        <v>1065</v>
      </c>
      <c r="F106" s="1255"/>
      <c r="G106" s="814" t="s">
        <v>21</v>
      </c>
      <c r="H106" s="779">
        <f t="shared" si="11"/>
        <v>1183900</v>
      </c>
      <c r="I106" s="780">
        <f t="shared" si="12"/>
        <v>1183900</v>
      </c>
      <c r="J106" s="780">
        <v>0</v>
      </c>
      <c r="K106" s="780">
        <v>1183900</v>
      </c>
      <c r="L106" s="780">
        <f t="shared" si="31"/>
        <v>0</v>
      </c>
      <c r="M106" s="780">
        <v>0</v>
      </c>
      <c r="N106" s="780">
        <v>0</v>
      </c>
    </row>
    <row r="107" spans="1:14" s="721" customFormat="1" ht="14.85" customHeight="1">
      <c r="A107" s="1282"/>
      <c r="B107" s="1283"/>
      <c r="C107" s="1284"/>
      <c r="D107" s="1285"/>
      <c r="E107" s="1256"/>
      <c r="F107" s="1257"/>
      <c r="G107" s="810" t="s">
        <v>22</v>
      </c>
      <c r="H107" s="779">
        <f t="shared" si="11"/>
        <v>66500</v>
      </c>
      <c r="I107" s="780">
        <f t="shared" si="12"/>
        <v>66500</v>
      </c>
      <c r="J107" s="780">
        <v>0</v>
      </c>
      <c r="K107" s="780">
        <v>66500</v>
      </c>
      <c r="L107" s="780">
        <f t="shared" si="31"/>
        <v>0</v>
      </c>
      <c r="M107" s="780">
        <v>0</v>
      </c>
      <c r="N107" s="780">
        <v>0</v>
      </c>
    </row>
    <row r="108" spans="1:14" s="721" customFormat="1" ht="14.85" customHeight="1">
      <c r="A108" s="1282"/>
      <c r="B108" s="1283"/>
      <c r="C108" s="1284"/>
      <c r="D108" s="1285"/>
      <c r="E108" s="1258"/>
      <c r="F108" s="1259"/>
      <c r="G108" s="811" t="s">
        <v>23</v>
      </c>
      <c r="H108" s="808">
        <f>I108+L108</f>
        <v>1250400</v>
      </c>
      <c r="I108" s="809">
        <f>J108+K108</f>
        <v>1250400</v>
      </c>
      <c r="J108" s="809">
        <f>J106+J107</f>
        <v>0</v>
      </c>
      <c r="K108" s="809">
        <f>K106+K107</f>
        <v>1250400</v>
      </c>
      <c r="L108" s="809">
        <f t="shared" si="31"/>
        <v>0</v>
      </c>
      <c r="M108" s="809">
        <f>M106+M107</f>
        <v>0</v>
      </c>
      <c r="N108" s="809">
        <f>N106+N107</f>
        <v>0</v>
      </c>
    </row>
    <row r="109" spans="1:14" s="812" customFormat="1" ht="15" hidden="1" customHeight="1">
      <c r="A109" s="1286"/>
      <c r="B109" s="1287"/>
      <c r="C109" s="1260"/>
      <c r="D109" s="1261"/>
      <c r="E109" s="1254" t="s">
        <v>1074</v>
      </c>
      <c r="F109" s="1255"/>
      <c r="G109" s="814" t="s">
        <v>21</v>
      </c>
      <c r="H109" s="779">
        <f>I109+L109</f>
        <v>16248</v>
      </c>
      <c r="I109" s="780">
        <f>J109+K109</f>
        <v>16248</v>
      </c>
      <c r="J109" s="780">
        <v>0</v>
      </c>
      <c r="K109" s="780">
        <v>16248</v>
      </c>
      <c r="L109" s="780">
        <f>M109+N109</f>
        <v>0</v>
      </c>
      <c r="M109" s="780">
        <v>0</v>
      </c>
      <c r="N109" s="780">
        <v>0</v>
      </c>
    </row>
    <row r="110" spans="1:14" s="812" customFormat="1" ht="15" hidden="1" customHeight="1">
      <c r="A110" s="1286"/>
      <c r="B110" s="1287"/>
      <c r="C110" s="1260"/>
      <c r="D110" s="1261"/>
      <c r="E110" s="1288"/>
      <c r="F110" s="1289"/>
      <c r="G110" s="814" t="s">
        <v>22</v>
      </c>
      <c r="H110" s="779">
        <f>I110+L110</f>
        <v>0</v>
      </c>
      <c r="I110" s="780">
        <f>J110+K110</f>
        <v>0</v>
      </c>
      <c r="J110" s="780">
        <v>0</v>
      </c>
      <c r="K110" s="780">
        <v>0</v>
      </c>
      <c r="L110" s="780">
        <f>M110+N110</f>
        <v>0</v>
      </c>
      <c r="M110" s="780">
        <v>0</v>
      </c>
      <c r="N110" s="780">
        <v>0</v>
      </c>
    </row>
    <row r="111" spans="1:14" s="721" customFormat="1" ht="15" hidden="1" customHeight="1">
      <c r="A111" s="1282"/>
      <c r="B111" s="1283"/>
      <c r="C111" s="1284"/>
      <c r="D111" s="1285"/>
      <c r="E111" s="1290"/>
      <c r="F111" s="1291"/>
      <c r="G111" s="811" t="s">
        <v>23</v>
      </c>
      <c r="H111" s="808">
        <f>I111+L111</f>
        <v>16248</v>
      </c>
      <c r="I111" s="809">
        <f>J111+K111</f>
        <v>16248</v>
      </c>
      <c r="J111" s="809">
        <f>J109+J110</f>
        <v>0</v>
      </c>
      <c r="K111" s="809">
        <f>K109+K110</f>
        <v>16248</v>
      </c>
      <c r="L111" s="809">
        <f>M111+N111</f>
        <v>0</v>
      </c>
      <c r="M111" s="809">
        <f>M109+M110</f>
        <v>0</v>
      </c>
      <c r="N111" s="809">
        <f>N109+N110</f>
        <v>0</v>
      </c>
    </row>
    <row r="112" spans="1:14" s="734" customFormat="1" ht="14.85" customHeight="1">
      <c r="A112" s="1269" t="s">
        <v>1075</v>
      </c>
      <c r="B112" s="1270"/>
      <c r="C112" s="1270"/>
      <c r="D112" s="1270"/>
      <c r="E112" s="1270"/>
      <c r="F112" s="1271"/>
      <c r="G112" s="769" t="s">
        <v>21</v>
      </c>
      <c r="H112" s="804">
        <f t="shared" si="11"/>
        <v>1087300</v>
      </c>
      <c r="I112" s="805">
        <f t="shared" si="12"/>
        <v>1087300</v>
      </c>
      <c r="J112" s="805">
        <f t="shared" ref="J112:K114" si="33">J115</f>
        <v>0</v>
      </c>
      <c r="K112" s="805">
        <f t="shared" si="33"/>
        <v>1087300</v>
      </c>
      <c r="L112" s="805">
        <f t="shared" si="31"/>
        <v>0</v>
      </c>
      <c r="M112" s="805">
        <f t="shared" ref="M112:N114" si="34">M115</f>
        <v>0</v>
      </c>
      <c r="N112" s="805">
        <f t="shared" si="34"/>
        <v>0</v>
      </c>
    </row>
    <row r="113" spans="1:14" s="734" customFormat="1" ht="14.85" customHeight="1">
      <c r="A113" s="1272"/>
      <c r="B113" s="1315"/>
      <c r="C113" s="1315"/>
      <c r="D113" s="1315"/>
      <c r="E113" s="1315"/>
      <c r="F113" s="1274"/>
      <c r="G113" s="769" t="s">
        <v>22</v>
      </c>
      <c r="H113" s="804">
        <f t="shared" si="11"/>
        <v>9375</v>
      </c>
      <c r="I113" s="805">
        <f t="shared" si="12"/>
        <v>9375</v>
      </c>
      <c r="J113" s="805">
        <f t="shared" si="33"/>
        <v>0</v>
      </c>
      <c r="K113" s="805">
        <f t="shared" si="33"/>
        <v>9375</v>
      </c>
      <c r="L113" s="805">
        <f t="shared" si="31"/>
        <v>0</v>
      </c>
      <c r="M113" s="805">
        <f t="shared" si="34"/>
        <v>0</v>
      </c>
      <c r="N113" s="805">
        <f t="shared" si="34"/>
        <v>0</v>
      </c>
    </row>
    <row r="114" spans="1:14" s="734" customFormat="1" ht="14.85" customHeight="1">
      <c r="A114" s="1275"/>
      <c r="B114" s="1276"/>
      <c r="C114" s="1276"/>
      <c r="D114" s="1276"/>
      <c r="E114" s="1276"/>
      <c r="F114" s="1277"/>
      <c r="G114" s="769" t="s">
        <v>23</v>
      </c>
      <c r="H114" s="804">
        <f t="shared" si="11"/>
        <v>1096675</v>
      </c>
      <c r="I114" s="805">
        <f t="shared" si="12"/>
        <v>1096675</v>
      </c>
      <c r="J114" s="805">
        <f t="shared" si="33"/>
        <v>0</v>
      </c>
      <c r="K114" s="805">
        <f t="shared" si="33"/>
        <v>1096675</v>
      </c>
      <c r="L114" s="805">
        <f t="shared" si="31"/>
        <v>0</v>
      </c>
      <c r="M114" s="805">
        <f t="shared" si="34"/>
        <v>0</v>
      </c>
      <c r="N114" s="805">
        <f t="shared" si="34"/>
        <v>0</v>
      </c>
    </row>
    <row r="115" spans="1:14" s="721" customFormat="1" ht="14.85" customHeight="1">
      <c r="A115" s="1278" t="s">
        <v>300</v>
      </c>
      <c r="B115" s="1279"/>
      <c r="C115" s="1280" t="s">
        <v>312</v>
      </c>
      <c r="D115" s="1281"/>
      <c r="E115" s="1254" t="s">
        <v>1065</v>
      </c>
      <c r="F115" s="1255"/>
      <c r="G115" s="814" t="s">
        <v>21</v>
      </c>
      <c r="H115" s="779">
        <f t="shared" si="11"/>
        <v>1087300</v>
      </c>
      <c r="I115" s="780">
        <f t="shared" si="12"/>
        <v>1087300</v>
      </c>
      <c r="J115" s="780">
        <v>0</v>
      </c>
      <c r="K115" s="780">
        <v>1087300</v>
      </c>
      <c r="L115" s="780">
        <f t="shared" si="31"/>
        <v>0</v>
      </c>
      <c r="M115" s="780">
        <v>0</v>
      </c>
      <c r="N115" s="780">
        <v>0</v>
      </c>
    </row>
    <row r="116" spans="1:14" s="721" customFormat="1" ht="14.85" customHeight="1">
      <c r="A116" s="1282"/>
      <c r="B116" s="1283"/>
      <c r="C116" s="1284"/>
      <c r="D116" s="1285"/>
      <c r="E116" s="1288"/>
      <c r="F116" s="1289"/>
      <c r="G116" s="814" t="s">
        <v>22</v>
      </c>
      <c r="H116" s="779">
        <f t="shared" ref="H116:H180" si="35">I116+L116</f>
        <v>9375</v>
      </c>
      <c r="I116" s="780">
        <f t="shared" ref="I116:I180" si="36">J116+K116</f>
        <v>9375</v>
      </c>
      <c r="J116" s="780">
        <v>0</v>
      </c>
      <c r="K116" s="780">
        <v>9375</v>
      </c>
      <c r="L116" s="780">
        <f t="shared" si="31"/>
        <v>0</v>
      </c>
      <c r="M116" s="780">
        <v>0</v>
      </c>
      <c r="N116" s="780">
        <v>0</v>
      </c>
    </row>
    <row r="117" spans="1:14" s="721" customFormat="1" ht="14.85" customHeight="1">
      <c r="A117" s="1282"/>
      <c r="B117" s="1283"/>
      <c r="C117" s="1284"/>
      <c r="D117" s="1285"/>
      <c r="E117" s="1290"/>
      <c r="F117" s="1291"/>
      <c r="G117" s="811" t="s">
        <v>23</v>
      </c>
      <c r="H117" s="808">
        <f t="shared" si="35"/>
        <v>1096675</v>
      </c>
      <c r="I117" s="809">
        <f t="shared" si="36"/>
        <v>1096675</v>
      </c>
      <c r="J117" s="809">
        <f>J115+J116</f>
        <v>0</v>
      </c>
      <c r="K117" s="809">
        <f>K115+K116</f>
        <v>1096675</v>
      </c>
      <c r="L117" s="809">
        <f t="shared" si="31"/>
        <v>0</v>
      </c>
      <c r="M117" s="809">
        <f>M115+M116</f>
        <v>0</v>
      </c>
      <c r="N117" s="809">
        <f>N115+N116</f>
        <v>0</v>
      </c>
    </row>
    <row r="118" spans="1:14" s="734" customFormat="1" ht="14.85" customHeight="1">
      <c r="A118" s="1269" t="s">
        <v>1076</v>
      </c>
      <c r="B118" s="1293"/>
      <c r="C118" s="1293"/>
      <c r="D118" s="1293"/>
      <c r="E118" s="1293"/>
      <c r="F118" s="1294"/>
      <c r="G118" s="816" t="s">
        <v>21</v>
      </c>
      <c r="H118" s="804">
        <f t="shared" si="35"/>
        <v>1367000</v>
      </c>
      <c r="I118" s="805">
        <f t="shared" si="36"/>
        <v>1367000</v>
      </c>
      <c r="J118" s="805">
        <f t="shared" ref="J118:K120" si="37">J121</f>
        <v>0</v>
      </c>
      <c r="K118" s="805">
        <f t="shared" si="37"/>
        <v>1367000</v>
      </c>
      <c r="L118" s="805">
        <f t="shared" si="31"/>
        <v>0</v>
      </c>
      <c r="M118" s="805">
        <f t="shared" ref="M118:N120" si="38">M121</f>
        <v>0</v>
      </c>
      <c r="N118" s="805">
        <f t="shared" si="38"/>
        <v>0</v>
      </c>
    </row>
    <row r="119" spans="1:14" s="734" customFormat="1" ht="14.85" customHeight="1">
      <c r="A119" s="1295"/>
      <c r="B119" s="1296"/>
      <c r="C119" s="1296"/>
      <c r="D119" s="1296"/>
      <c r="E119" s="1296"/>
      <c r="F119" s="1297"/>
      <c r="G119" s="816" t="s">
        <v>22</v>
      </c>
      <c r="H119" s="804">
        <f t="shared" si="35"/>
        <v>22732</v>
      </c>
      <c r="I119" s="805">
        <f t="shared" si="36"/>
        <v>22732</v>
      </c>
      <c r="J119" s="805">
        <f t="shared" si="37"/>
        <v>0</v>
      </c>
      <c r="K119" s="805">
        <f t="shared" si="37"/>
        <v>22732</v>
      </c>
      <c r="L119" s="805">
        <f t="shared" si="31"/>
        <v>0</v>
      </c>
      <c r="M119" s="805">
        <f t="shared" si="38"/>
        <v>0</v>
      </c>
      <c r="N119" s="805">
        <f t="shared" si="38"/>
        <v>0</v>
      </c>
    </row>
    <row r="120" spans="1:14" s="734" customFormat="1" ht="14.85" customHeight="1">
      <c r="A120" s="1298"/>
      <c r="B120" s="1299"/>
      <c r="C120" s="1299"/>
      <c r="D120" s="1299"/>
      <c r="E120" s="1299"/>
      <c r="F120" s="1300"/>
      <c r="G120" s="816" t="s">
        <v>23</v>
      </c>
      <c r="H120" s="804">
        <f t="shared" si="35"/>
        <v>1389732</v>
      </c>
      <c r="I120" s="805">
        <f t="shared" si="36"/>
        <v>1389732</v>
      </c>
      <c r="J120" s="805">
        <f t="shared" si="37"/>
        <v>0</v>
      </c>
      <c r="K120" s="805">
        <f t="shared" si="37"/>
        <v>1389732</v>
      </c>
      <c r="L120" s="805">
        <f t="shared" si="31"/>
        <v>0</v>
      </c>
      <c r="M120" s="805">
        <f t="shared" si="38"/>
        <v>0</v>
      </c>
      <c r="N120" s="805">
        <f t="shared" si="38"/>
        <v>0</v>
      </c>
    </row>
    <row r="121" spans="1:14" s="721" customFormat="1" ht="14.85" customHeight="1">
      <c r="A121" s="1278" t="s">
        <v>300</v>
      </c>
      <c r="B121" s="1279"/>
      <c r="C121" s="1280" t="s">
        <v>312</v>
      </c>
      <c r="D121" s="1281"/>
      <c r="E121" s="1254" t="s">
        <v>1065</v>
      </c>
      <c r="F121" s="1255"/>
      <c r="G121" s="814" t="s">
        <v>21</v>
      </c>
      <c r="H121" s="779">
        <f t="shared" si="35"/>
        <v>1367000</v>
      </c>
      <c r="I121" s="780">
        <f t="shared" si="36"/>
        <v>1367000</v>
      </c>
      <c r="J121" s="780">
        <v>0</v>
      </c>
      <c r="K121" s="780">
        <v>1367000</v>
      </c>
      <c r="L121" s="780">
        <f t="shared" si="31"/>
        <v>0</v>
      </c>
      <c r="M121" s="780">
        <v>0</v>
      </c>
      <c r="N121" s="780">
        <v>0</v>
      </c>
    </row>
    <row r="122" spans="1:14" s="721" customFormat="1" ht="14.85" customHeight="1">
      <c r="A122" s="1282"/>
      <c r="B122" s="1283"/>
      <c r="C122" s="1284"/>
      <c r="D122" s="1285"/>
      <c r="E122" s="1256"/>
      <c r="F122" s="1257"/>
      <c r="G122" s="810" t="s">
        <v>22</v>
      </c>
      <c r="H122" s="779">
        <f t="shared" si="35"/>
        <v>22732</v>
      </c>
      <c r="I122" s="780">
        <f t="shared" si="36"/>
        <v>22732</v>
      </c>
      <c r="J122" s="780">
        <v>0</v>
      </c>
      <c r="K122" s="780">
        <v>22732</v>
      </c>
      <c r="L122" s="780">
        <f t="shared" si="31"/>
        <v>0</v>
      </c>
      <c r="M122" s="780">
        <v>0</v>
      </c>
      <c r="N122" s="780">
        <v>0</v>
      </c>
    </row>
    <row r="123" spans="1:14" s="721" customFormat="1" ht="14.85" customHeight="1">
      <c r="A123" s="1282"/>
      <c r="B123" s="1283"/>
      <c r="C123" s="1284"/>
      <c r="D123" s="1285"/>
      <c r="E123" s="1258"/>
      <c r="F123" s="1259"/>
      <c r="G123" s="811" t="s">
        <v>23</v>
      </c>
      <c r="H123" s="808">
        <f t="shared" si="35"/>
        <v>1389732</v>
      </c>
      <c r="I123" s="809">
        <f t="shared" si="36"/>
        <v>1389732</v>
      </c>
      <c r="J123" s="809">
        <f>J121+J122</f>
        <v>0</v>
      </c>
      <c r="K123" s="809">
        <f>K121+K122</f>
        <v>1389732</v>
      </c>
      <c r="L123" s="809">
        <f t="shared" si="31"/>
        <v>0</v>
      </c>
      <c r="M123" s="809">
        <f>M121+M122</f>
        <v>0</v>
      </c>
      <c r="N123" s="809">
        <f>N121+N122</f>
        <v>0</v>
      </c>
    </row>
    <row r="124" spans="1:14" s="734" customFormat="1" ht="15" hidden="1" customHeight="1">
      <c r="A124" s="1269" t="s">
        <v>1077</v>
      </c>
      <c r="B124" s="1293"/>
      <c r="C124" s="1293"/>
      <c r="D124" s="1293"/>
      <c r="E124" s="1293"/>
      <c r="F124" s="1294"/>
      <c r="G124" s="816" t="s">
        <v>21</v>
      </c>
      <c r="H124" s="804">
        <f t="shared" si="35"/>
        <v>1299500</v>
      </c>
      <c r="I124" s="805">
        <f t="shared" si="36"/>
        <v>1299500</v>
      </c>
      <c r="J124" s="805">
        <f t="shared" ref="J124:K126" si="39">J127</f>
        <v>0</v>
      </c>
      <c r="K124" s="805">
        <f t="shared" si="39"/>
        <v>1299500</v>
      </c>
      <c r="L124" s="805">
        <f t="shared" si="31"/>
        <v>0</v>
      </c>
      <c r="M124" s="805">
        <f t="shared" ref="M124:N126" si="40">M127</f>
        <v>0</v>
      </c>
      <c r="N124" s="805">
        <f t="shared" si="40"/>
        <v>0</v>
      </c>
    </row>
    <row r="125" spans="1:14" s="734" customFormat="1" ht="15" hidden="1" customHeight="1">
      <c r="A125" s="1295"/>
      <c r="B125" s="1296"/>
      <c r="C125" s="1296"/>
      <c r="D125" s="1296"/>
      <c r="E125" s="1296"/>
      <c r="F125" s="1297"/>
      <c r="G125" s="816" t="s">
        <v>22</v>
      </c>
      <c r="H125" s="804">
        <f t="shared" si="35"/>
        <v>0</v>
      </c>
      <c r="I125" s="805">
        <f t="shared" si="36"/>
        <v>0</v>
      </c>
      <c r="J125" s="805">
        <f t="shared" si="39"/>
        <v>0</v>
      </c>
      <c r="K125" s="805">
        <f t="shared" si="39"/>
        <v>0</v>
      </c>
      <c r="L125" s="805">
        <f t="shared" si="31"/>
        <v>0</v>
      </c>
      <c r="M125" s="805">
        <f t="shared" si="40"/>
        <v>0</v>
      </c>
      <c r="N125" s="805">
        <f t="shared" si="40"/>
        <v>0</v>
      </c>
    </row>
    <row r="126" spans="1:14" s="734" customFormat="1" ht="15" hidden="1" customHeight="1">
      <c r="A126" s="1298"/>
      <c r="B126" s="1299"/>
      <c r="C126" s="1299"/>
      <c r="D126" s="1299"/>
      <c r="E126" s="1299"/>
      <c r="F126" s="1300"/>
      <c r="G126" s="816" t="s">
        <v>23</v>
      </c>
      <c r="H126" s="804">
        <f t="shared" si="35"/>
        <v>1299500</v>
      </c>
      <c r="I126" s="805">
        <f t="shared" si="36"/>
        <v>1299500</v>
      </c>
      <c r="J126" s="805">
        <f t="shared" si="39"/>
        <v>0</v>
      </c>
      <c r="K126" s="805">
        <f t="shared" si="39"/>
        <v>1299500</v>
      </c>
      <c r="L126" s="805">
        <f t="shared" si="31"/>
        <v>0</v>
      </c>
      <c r="M126" s="805">
        <f t="shared" si="40"/>
        <v>0</v>
      </c>
      <c r="N126" s="805">
        <f t="shared" si="40"/>
        <v>0</v>
      </c>
    </row>
    <row r="127" spans="1:14" s="721" customFormat="1" ht="15" hidden="1" customHeight="1">
      <c r="A127" s="1278" t="s">
        <v>300</v>
      </c>
      <c r="B127" s="1279"/>
      <c r="C127" s="1280" t="s">
        <v>1078</v>
      </c>
      <c r="D127" s="1281"/>
      <c r="E127" s="1254" t="s">
        <v>1065</v>
      </c>
      <c r="F127" s="1255"/>
      <c r="G127" s="814" t="s">
        <v>21</v>
      </c>
      <c r="H127" s="808">
        <f t="shared" si="35"/>
        <v>1299500</v>
      </c>
      <c r="I127" s="809">
        <f t="shared" si="36"/>
        <v>1299500</v>
      </c>
      <c r="J127" s="809">
        <v>0</v>
      </c>
      <c r="K127" s="809">
        <v>1299500</v>
      </c>
      <c r="L127" s="809">
        <f t="shared" si="31"/>
        <v>0</v>
      </c>
      <c r="M127" s="809">
        <v>0</v>
      </c>
      <c r="N127" s="809">
        <v>0</v>
      </c>
    </row>
    <row r="128" spans="1:14" s="721" customFormat="1" ht="15" hidden="1" customHeight="1">
      <c r="A128" s="1282"/>
      <c r="B128" s="1283"/>
      <c r="C128" s="1284"/>
      <c r="D128" s="1285"/>
      <c r="E128" s="1288"/>
      <c r="F128" s="1289"/>
      <c r="G128" s="814" t="s">
        <v>22</v>
      </c>
      <c r="H128" s="808">
        <f t="shared" si="35"/>
        <v>0</v>
      </c>
      <c r="I128" s="809">
        <f t="shared" si="36"/>
        <v>0</v>
      </c>
      <c r="J128" s="809">
        <v>0</v>
      </c>
      <c r="K128" s="809">
        <v>0</v>
      </c>
      <c r="L128" s="809">
        <f t="shared" si="31"/>
        <v>0</v>
      </c>
      <c r="M128" s="809">
        <v>0</v>
      </c>
      <c r="N128" s="809">
        <v>0</v>
      </c>
    </row>
    <row r="129" spans="1:14" s="721" customFormat="1" ht="15" hidden="1" customHeight="1">
      <c r="A129" s="1282"/>
      <c r="B129" s="1283"/>
      <c r="C129" s="1284"/>
      <c r="D129" s="1285"/>
      <c r="E129" s="1290"/>
      <c r="F129" s="1291"/>
      <c r="G129" s="811" t="s">
        <v>23</v>
      </c>
      <c r="H129" s="808">
        <f t="shared" si="35"/>
        <v>1299500</v>
      </c>
      <c r="I129" s="809">
        <f t="shared" si="36"/>
        <v>1299500</v>
      </c>
      <c r="J129" s="809">
        <f>J127+J128</f>
        <v>0</v>
      </c>
      <c r="K129" s="809">
        <f>K127+K128</f>
        <v>1299500</v>
      </c>
      <c r="L129" s="809">
        <f t="shared" si="31"/>
        <v>0</v>
      </c>
      <c r="M129" s="809">
        <f>M127+M128</f>
        <v>0</v>
      </c>
      <c r="N129" s="809">
        <f>N127+N128</f>
        <v>0</v>
      </c>
    </row>
    <row r="130" spans="1:14" s="734" customFormat="1" ht="14.85" customHeight="1">
      <c r="A130" s="1269" t="s">
        <v>317</v>
      </c>
      <c r="B130" s="1293"/>
      <c r="C130" s="1293"/>
      <c r="D130" s="1293"/>
      <c r="E130" s="1293"/>
      <c r="F130" s="1294"/>
      <c r="G130" s="816" t="s">
        <v>21</v>
      </c>
      <c r="H130" s="804">
        <f t="shared" si="35"/>
        <v>11510000</v>
      </c>
      <c r="I130" s="805">
        <f t="shared" si="36"/>
        <v>11510000</v>
      </c>
      <c r="J130" s="805">
        <f t="shared" ref="J130:K132" si="41">J133</f>
        <v>0</v>
      </c>
      <c r="K130" s="805">
        <f t="shared" si="41"/>
        <v>11510000</v>
      </c>
      <c r="L130" s="805">
        <f t="shared" si="31"/>
        <v>0</v>
      </c>
      <c r="M130" s="805">
        <f t="shared" ref="M130:N132" si="42">M133</f>
        <v>0</v>
      </c>
      <c r="N130" s="805">
        <f t="shared" si="42"/>
        <v>0</v>
      </c>
    </row>
    <row r="131" spans="1:14" s="734" customFormat="1" ht="14.85" customHeight="1">
      <c r="A131" s="1295"/>
      <c r="B131" s="1296"/>
      <c r="C131" s="1296"/>
      <c r="D131" s="1296"/>
      <c r="E131" s="1296"/>
      <c r="F131" s="1297"/>
      <c r="G131" s="816" t="s">
        <v>22</v>
      </c>
      <c r="H131" s="804">
        <f t="shared" si="35"/>
        <v>105848</v>
      </c>
      <c r="I131" s="805">
        <f t="shared" si="36"/>
        <v>105848</v>
      </c>
      <c r="J131" s="805">
        <f t="shared" si="41"/>
        <v>0</v>
      </c>
      <c r="K131" s="805">
        <f t="shared" si="41"/>
        <v>105848</v>
      </c>
      <c r="L131" s="805">
        <f t="shared" si="31"/>
        <v>0</v>
      </c>
      <c r="M131" s="805">
        <f t="shared" si="42"/>
        <v>0</v>
      </c>
      <c r="N131" s="805">
        <f t="shared" si="42"/>
        <v>0</v>
      </c>
    </row>
    <row r="132" spans="1:14" s="734" customFormat="1" ht="14.85" customHeight="1">
      <c r="A132" s="1298"/>
      <c r="B132" s="1299"/>
      <c r="C132" s="1299"/>
      <c r="D132" s="1299"/>
      <c r="E132" s="1299"/>
      <c r="F132" s="1300"/>
      <c r="G132" s="816" t="s">
        <v>23</v>
      </c>
      <c r="H132" s="804">
        <f t="shared" si="35"/>
        <v>11615848</v>
      </c>
      <c r="I132" s="805">
        <f t="shared" si="36"/>
        <v>11615848</v>
      </c>
      <c r="J132" s="805">
        <f t="shared" si="41"/>
        <v>0</v>
      </c>
      <c r="K132" s="805">
        <f t="shared" si="41"/>
        <v>11615848</v>
      </c>
      <c r="L132" s="805">
        <f t="shared" si="31"/>
        <v>0</v>
      </c>
      <c r="M132" s="805">
        <f t="shared" si="42"/>
        <v>0</v>
      </c>
      <c r="N132" s="805">
        <f t="shared" si="42"/>
        <v>0</v>
      </c>
    </row>
    <row r="133" spans="1:14" s="721" customFormat="1" ht="14.85" customHeight="1">
      <c r="A133" s="1278" t="s">
        <v>300</v>
      </c>
      <c r="B133" s="1279"/>
      <c r="C133" s="1280" t="s">
        <v>315</v>
      </c>
      <c r="D133" s="1281"/>
      <c r="E133" s="1254" t="s">
        <v>1071</v>
      </c>
      <c r="F133" s="1255"/>
      <c r="G133" s="814" t="s">
        <v>21</v>
      </c>
      <c r="H133" s="808">
        <f t="shared" si="35"/>
        <v>11510000</v>
      </c>
      <c r="I133" s="809">
        <f t="shared" si="36"/>
        <v>11510000</v>
      </c>
      <c r="J133" s="809">
        <f t="shared" ref="J133:K135" si="43">J136+J139</f>
        <v>0</v>
      </c>
      <c r="K133" s="809">
        <f t="shared" si="43"/>
        <v>11510000</v>
      </c>
      <c r="L133" s="809">
        <f t="shared" si="31"/>
        <v>0</v>
      </c>
      <c r="M133" s="809">
        <f t="shared" ref="M133:N135" si="44">M136+M139</f>
        <v>0</v>
      </c>
      <c r="N133" s="809">
        <f t="shared" si="44"/>
        <v>0</v>
      </c>
    </row>
    <row r="134" spans="1:14" s="721" customFormat="1" ht="14.85" customHeight="1">
      <c r="A134" s="1282"/>
      <c r="B134" s="1283"/>
      <c r="C134" s="1284"/>
      <c r="D134" s="1285"/>
      <c r="E134" s="1288"/>
      <c r="F134" s="1289"/>
      <c r="G134" s="814" t="s">
        <v>22</v>
      </c>
      <c r="H134" s="808">
        <f t="shared" si="35"/>
        <v>105848</v>
      </c>
      <c r="I134" s="809">
        <f t="shared" si="36"/>
        <v>105848</v>
      </c>
      <c r="J134" s="809">
        <f t="shared" si="43"/>
        <v>0</v>
      </c>
      <c r="K134" s="809">
        <f t="shared" si="43"/>
        <v>105848</v>
      </c>
      <c r="L134" s="809">
        <f t="shared" si="31"/>
        <v>0</v>
      </c>
      <c r="M134" s="809">
        <f t="shared" si="44"/>
        <v>0</v>
      </c>
      <c r="N134" s="809">
        <f t="shared" si="44"/>
        <v>0</v>
      </c>
    </row>
    <row r="135" spans="1:14" s="721" customFormat="1" ht="14.85" customHeight="1">
      <c r="A135" s="1282"/>
      <c r="B135" s="1283"/>
      <c r="C135" s="1284"/>
      <c r="D135" s="1285"/>
      <c r="E135" s="1290"/>
      <c r="F135" s="1291"/>
      <c r="G135" s="814" t="s">
        <v>23</v>
      </c>
      <c r="H135" s="808">
        <f t="shared" si="35"/>
        <v>11615848</v>
      </c>
      <c r="I135" s="809">
        <f t="shared" si="36"/>
        <v>11615848</v>
      </c>
      <c r="J135" s="809">
        <f t="shared" si="43"/>
        <v>0</v>
      </c>
      <c r="K135" s="809">
        <f t="shared" si="43"/>
        <v>11615848</v>
      </c>
      <c r="L135" s="809">
        <f t="shared" si="31"/>
        <v>0</v>
      </c>
      <c r="M135" s="809">
        <f t="shared" si="44"/>
        <v>0</v>
      </c>
      <c r="N135" s="809">
        <f t="shared" si="44"/>
        <v>0</v>
      </c>
    </row>
    <row r="136" spans="1:14" s="825" customFormat="1" ht="14.85" customHeight="1">
      <c r="A136" s="1305"/>
      <c r="B136" s="1306"/>
      <c r="C136" s="1307"/>
      <c r="D136" s="1308"/>
      <c r="E136" s="1309" t="s">
        <v>1072</v>
      </c>
      <c r="F136" s="1310"/>
      <c r="G136" s="822" t="s">
        <v>21</v>
      </c>
      <c r="H136" s="823">
        <f t="shared" si="35"/>
        <v>9310000</v>
      </c>
      <c r="I136" s="824">
        <f t="shared" si="36"/>
        <v>9310000</v>
      </c>
      <c r="J136" s="824">
        <v>0</v>
      </c>
      <c r="K136" s="824">
        <v>9310000</v>
      </c>
      <c r="L136" s="824">
        <f t="shared" si="31"/>
        <v>0</v>
      </c>
      <c r="M136" s="824">
        <v>0</v>
      </c>
      <c r="N136" s="824">
        <v>0</v>
      </c>
    </row>
    <row r="137" spans="1:14" s="825" customFormat="1" ht="14.85" customHeight="1">
      <c r="A137" s="1305"/>
      <c r="B137" s="1306"/>
      <c r="C137" s="1307"/>
      <c r="D137" s="1308"/>
      <c r="E137" s="1311"/>
      <c r="F137" s="1312"/>
      <c r="G137" s="822" t="s">
        <v>22</v>
      </c>
      <c r="H137" s="823">
        <f>I137+L137</f>
        <v>105848</v>
      </c>
      <c r="I137" s="824">
        <f>J137+K137</f>
        <v>105848</v>
      </c>
      <c r="J137" s="824">
        <v>0</v>
      </c>
      <c r="K137" s="824">
        <v>105848</v>
      </c>
      <c r="L137" s="824">
        <f t="shared" si="31"/>
        <v>0</v>
      </c>
      <c r="M137" s="824">
        <v>0</v>
      </c>
      <c r="N137" s="824">
        <v>0</v>
      </c>
    </row>
    <row r="138" spans="1:14" s="825" customFormat="1" ht="14.85" customHeight="1">
      <c r="A138" s="1305"/>
      <c r="B138" s="1306"/>
      <c r="C138" s="1307"/>
      <c r="D138" s="1308"/>
      <c r="E138" s="1313"/>
      <c r="F138" s="1314"/>
      <c r="G138" s="822" t="s">
        <v>23</v>
      </c>
      <c r="H138" s="823">
        <f>I138+L138</f>
        <v>9415848</v>
      </c>
      <c r="I138" s="824">
        <f t="shared" si="36"/>
        <v>9415848</v>
      </c>
      <c r="J138" s="824">
        <f>J137+J136</f>
        <v>0</v>
      </c>
      <c r="K138" s="824">
        <f>K137+K136</f>
        <v>9415848</v>
      </c>
      <c r="L138" s="824">
        <f>M138+N138</f>
        <v>0</v>
      </c>
      <c r="M138" s="824">
        <f>M137+M136</f>
        <v>0</v>
      </c>
      <c r="N138" s="824">
        <f>N137+N136</f>
        <v>0</v>
      </c>
    </row>
    <row r="139" spans="1:14" s="825" customFormat="1" ht="15" hidden="1" customHeight="1">
      <c r="A139" s="1305"/>
      <c r="B139" s="1306"/>
      <c r="C139" s="1307"/>
      <c r="D139" s="1308"/>
      <c r="E139" s="1309" t="s">
        <v>1079</v>
      </c>
      <c r="F139" s="1310"/>
      <c r="G139" s="822" t="s">
        <v>21</v>
      </c>
      <c r="H139" s="823">
        <f t="shared" si="35"/>
        <v>2200000</v>
      </c>
      <c r="I139" s="824">
        <f t="shared" si="36"/>
        <v>2200000</v>
      </c>
      <c r="J139" s="824">
        <v>0</v>
      </c>
      <c r="K139" s="824">
        <v>2200000</v>
      </c>
      <c r="L139" s="824">
        <f>M139+N139</f>
        <v>0</v>
      </c>
      <c r="M139" s="824">
        <v>0</v>
      </c>
      <c r="N139" s="824">
        <v>0</v>
      </c>
    </row>
    <row r="140" spans="1:14" s="825" customFormat="1" ht="15" hidden="1" customHeight="1">
      <c r="A140" s="1305"/>
      <c r="B140" s="1306"/>
      <c r="C140" s="1307"/>
      <c r="D140" s="1308"/>
      <c r="E140" s="1311"/>
      <c r="F140" s="1312"/>
      <c r="G140" s="822" t="s">
        <v>22</v>
      </c>
      <c r="H140" s="823">
        <f t="shared" si="35"/>
        <v>0</v>
      </c>
      <c r="I140" s="824">
        <f t="shared" si="36"/>
        <v>0</v>
      </c>
      <c r="J140" s="824">
        <v>0</v>
      </c>
      <c r="K140" s="824">
        <v>0</v>
      </c>
      <c r="L140" s="824">
        <f>M140+N140</f>
        <v>0</v>
      </c>
      <c r="M140" s="824">
        <v>0</v>
      </c>
      <c r="N140" s="824">
        <v>0</v>
      </c>
    </row>
    <row r="141" spans="1:14" s="825" customFormat="1" ht="15" hidden="1" customHeight="1">
      <c r="A141" s="1305"/>
      <c r="B141" s="1306"/>
      <c r="C141" s="1307"/>
      <c r="D141" s="1308"/>
      <c r="E141" s="1313"/>
      <c r="F141" s="1314"/>
      <c r="G141" s="822" t="s">
        <v>23</v>
      </c>
      <c r="H141" s="823">
        <f>I141+L141</f>
        <v>2200000</v>
      </c>
      <c r="I141" s="824">
        <f>J141+K141</f>
        <v>2200000</v>
      </c>
      <c r="J141" s="824">
        <f>J140+J139</f>
        <v>0</v>
      </c>
      <c r="K141" s="824">
        <f>K140+K139</f>
        <v>2200000</v>
      </c>
      <c r="L141" s="824">
        <f>M141+N141</f>
        <v>0</v>
      </c>
      <c r="M141" s="824">
        <f>M140+M139</f>
        <v>0</v>
      </c>
      <c r="N141" s="824">
        <f>N140+N139</f>
        <v>0</v>
      </c>
    </row>
    <row r="142" spans="1:14" s="734" customFormat="1" ht="14.85" customHeight="1">
      <c r="A142" s="1269" t="s">
        <v>319</v>
      </c>
      <c r="B142" s="1293"/>
      <c r="C142" s="1293"/>
      <c r="D142" s="1293"/>
      <c r="E142" s="1293"/>
      <c r="F142" s="1294"/>
      <c r="G142" s="816" t="s">
        <v>21</v>
      </c>
      <c r="H142" s="804">
        <f t="shared" si="35"/>
        <v>9917300</v>
      </c>
      <c r="I142" s="805">
        <f t="shared" si="36"/>
        <v>9917300</v>
      </c>
      <c r="J142" s="805">
        <f t="shared" ref="J142:K144" si="45">J145</f>
        <v>0</v>
      </c>
      <c r="K142" s="805">
        <f t="shared" si="45"/>
        <v>9917300</v>
      </c>
      <c r="L142" s="805">
        <f t="shared" ref="L142:L149" si="46">M142+N142</f>
        <v>0</v>
      </c>
      <c r="M142" s="805">
        <f t="shared" ref="M142:N144" si="47">M145</f>
        <v>0</v>
      </c>
      <c r="N142" s="805">
        <f t="shared" si="47"/>
        <v>0</v>
      </c>
    </row>
    <row r="143" spans="1:14" s="734" customFormat="1" ht="14.85" customHeight="1">
      <c r="A143" s="1295"/>
      <c r="B143" s="1296"/>
      <c r="C143" s="1296"/>
      <c r="D143" s="1296"/>
      <c r="E143" s="1296"/>
      <c r="F143" s="1297"/>
      <c r="G143" s="816" t="s">
        <v>22</v>
      </c>
      <c r="H143" s="804">
        <f t="shared" si="35"/>
        <v>93548</v>
      </c>
      <c r="I143" s="805">
        <f t="shared" si="36"/>
        <v>93548</v>
      </c>
      <c r="J143" s="805">
        <f t="shared" si="45"/>
        <v>0</v>
      </c>
      <c r="K143" s="805">
        <f t="shared" si="45"/>
        <v>93548</v>
      </c>
      <c r="L143" s="805">
        <f t="shared" si="46"/>
        <v>0</v>
      </c>
      <c r="M143" s="805">
        <f t="shared" si="47"/>
        <v>0</v>
      </c>
      <c r="N143" s="805">
        <f t="shared" si="47"/>
        <v>0</v>
      </c>
    </row>
    <row r="144" spans="1:14" s="734" customFormat="1" ht="14.85" customHeight="1">
      <c r="A144" s="1298"/>
      <c r="B144" s="1299"/>
      <c r="C144" s="1299"/>
      <c r="D144" s="1299"/>
      <c r="E144" s="1299"/>
      <c r="F144" s="1300"/>
      <c r="G144" s="816" t="s">
        <v>23</v>
      </c>
      <c r="H144" s="804">
        <f t="shared" si="35"/>
        <v>10010848</v>
      </c>
      <c r="I144" s="805">
        <f t="shared" si="36"/>
        <v>10010848</v>
      </c>
      <c r="J144" s="805">
        <f t="shared" si="45"/>
        <v>0</v>
      </c>
      <c r="K144" s="805">
        <f t="shared" si="45"/>
        <v>10010848</v>
      </c>
      <c r="L144" s="805">
        <f t="shared" si="46"/>
        <v>0</v>
      </c>
      <c r="M144" s="805">
        <f t="shared" si="47"/>
        <v>0</v>
      </c>
      <c r="N144" s="805">
        <f t="shared" si="47"/>
        <v>0</v>
      </c>
    </row>
    <row r="145" spans="1:14" s="721" customFormat="1" ht="14.85" customHeight="1">
      <c r="A145" s="1278" t="s">
        <v>300</v>
      </c>
      <c r="B145" s="1279"/>
      <c r="C145" s="1280" t="s">
        <v>315</v>
      </c>
      <c r="D145" s="1281"/>
      <c r="E145" s="1254" t="s">
        <v>1071</v>
      </c>
      <c r="F145" s="1255"/>
      <c r="G145" s="814" t="s">
        <v>21</v>
      </c>
      <c r="H145" s="808">
        <f t="shared" si="35"/>
        <v>9917300</v>
      </c>
      <c r="I145" s="809">
        <f t="shared" si="36"/>
        <v>9917300</v>
      </c>
      <c r="J145" s="809">
        <f t="shared" ref="J145:K147" si="48">J148+J151</f>
        <v>0</v>
      </c>
      <c r="K145" s="809">
        <f t="shared" si="48"/>
        <v>9917300</v>
      </c>
      <c r="L145" s="809">
        <f t="shared" si="46"/>
        <v>0</v>
      </c>
      <c r="M145" s="809">
        <f t="shared" ref="M145:N147" si="49">M148+M151</f>
        <v>0</v>
      </c>
      <c r="N145" s="809">
        <f t="shared" si="49"/>
        <v>0</v>
      </c>
    </row>
    <row r="146" spans="1:14" s="721" customFormat="1" ht="14.85" customHeight="1">
      <c r="A146" s="1282"/>
      <c r="B146" s="1283"/>
      <c r="C146" s="1284"/>
      <c r="D146" s="1285"/>
      <c r="E146" s="1288"/>
      <c r="F146" s="1289"/>
      <c r="G146" s="814" t="s">
        <v>22</v>
      </c>
      <c r="H146" s="808">
        <f t="shared" si="35"/>
        <v>93548</v>
      </c>
      <c r="I146" s="809">
        <f t="shared" si="36"/>
        <v>93548</v>
      </c>
      <c r="J146" s="809">
        <f t="shared" si="48"/>
        <v>0</v>
      </c>
      <c r="K146" s="809">
        <f t="shared" si="48"/>
        <v>93548</v>
      </c>
      <c r="L146" s="809">
        <f t="shared" si="46"/>
        <v>0</v>
      </c>
      <c r="M146" s="809">
        <f t="shared" si="49"/>
        <v>0</v>
      </c>
      <c r="N146" s="809">
        <f t="shared" si="49"/>
        <v>0</v>
      </c>
    </row>
    <row r="147" spans="1:14" s="721" customFormat="1" ht="14.85" customHeight="1">
      <c r="A147" s="1282"/>
      <c r="B147" s="1283"/>
      <c r="C147" s="1284"/>
      <c r="D147" s="1285"/>
      <c r="E147" s="1290"/>
      <c r="F147" s="1291"/>
      <c r="G147" s="814" t="s">
        <v>23</v>
      </c>
      <c r="H147" s="808">
        <f t="shared" si="35"/>
        <v>10010848</v>
      </c>
      <c r="I147" s="809">
        <f t="shared" si="36"/>
        <v>10010848</v>
      </c>
      <c r="J147" s="809">
        <f t="shared" si="48"/>
        <v>0</v>
      </c>
      <c r="K147" s="809">
        <f t="shared" si="48"/>
        <v>10010848</v>
      </c>
      <c r="L147" s="809">
        <f t="shared" si="46"/>
        <v>0</v>
      </c>
      <c r="M147" s="809">
        <f t="shared" si="49"/>
        <v>0</v>
      </c>
      <c r="N147" s="809">
        <f t="shared" si="49"/>
        <v>0</v>
      </c>
    </row>
    <row r="148" spans="1:14" s="825" customFormat="1" ht="14.85" customHeight="1">
      <c r="A148" s="1305"/>
      <c r="B148" s="1306"/>
      <c r="C148" s="1307"/>
      <c r="D148" s="1308"/>
      <c r="E148" s="1309" t="s">
        <v>1072</v>
      </c>
      <c r="F148" s="1310"/>
      <c r="G148" s="822" t="s">
        <v>21</v>
      </c>
      <c r="H148" s="823">
        <f t="shared" si="35"/>
        <v>8517300</v>
      </c>
      <c r="I148" s="824">
        <f t="shared" si="36"/>
        <v>8517300</v>
      </c>
      <c r="J148" s="824">
        <v>0</v>
      </c>
      <c r="K148" s="824">
        <v>8517300</v>
      </c>
      <c r="L148" s="824">
        <f t="shared" si="46"/>
        <v>0</v>
      </c>
      <c r="M148" s="824">
        <v>0</v>
      </c>
      <c r="N148" s="824">
        <v>0</v>
      </c>
    </row>
    <row r="149" spans="1:14" s="825" customFormat="1" ht="14.85" customHeight="1">
      <c r="A149" s="1305"/>
      <c r="B149" s="1306"/>
      <c r="C149" s="1307"/>
      <c r="D149" s="1308"/>
      <c r="E149" s="1311"/>
      <c r="F149" s="1312"/>
      <c r="G149" s="822" t="s">
        <v>22</v>
      </c>
      <c r="H149" s="823">
        <f t="shared" si="35"/>
        <v>93548</v>
      </c>
      <c r="I149" s="824">
        <f t="shared" si="36"/>
        <v>93548</v>
      </c>
      <c r="J149" s="824">
        <v>0</v>
      </c>
      <c r="K149" s="824">
        <v>93548</v>
      </c>
      <c r="L149" s="824">
        <f t="shared" si="46"/>
        <v>0</v>
      </c>
      <c r="M149" s="824">
        <v>0</v>
      </c>
      <c r="N149" s="824">
        <v>0</v>
      </c>
    </row>
    <row r="150" spans="1:14" s="825" customFormat="1" ht="14.85" customHeight="1">
      <c r="A150" s="1305"/>
      <c r="B150" s="1306"/>
      <c r="C150" s="1307"/>
      <c r="D150" s="1308"/>
      <c r="E150" s="1313"/>
      <c r="F150" s="1314"/>
      <c r="G150" s="822" t="s">
        <v>23</v>
      </c>
      <c r="H150" s="823">
        <f t="shared" si="35"/>
        <v>8610848</v>
      </c>
      <c r="I150" s="824">
        <f t="shared" si="36"/>
        <v>8610848</v>
      </c>
      <c r="J150" s="824">
        <f>J148+J149</f>
        <v>0</v>
      </c>
      <c r="K150" s="824">
        <f>K148+K149</f>
        <v>8610848</v>
      </c>
      <c r="L150" s="824">
        <f>M150+N150</f>
        <v>0</v>
      </c>
      <c r="M150" s="824">
        <f>M148+M149</f>
        <v>0</v>
      </c>
      <c r="N150" s="824">
        <f>N148+N149</f>
        <v>0</v>
      </c>
    </row>
    <row r="151" spans="1:14" s="825" customFormat="1" ht="15" hidden="1" customHeight="1">
      <c r="A151" s="1305"/>
      <c r="B151" s="1306"/>
      <c r="C151" s="1307"/>
      <c r="D151" s="1308"/>
      <c r="E151" s="1309" t="s">
        <v>1080</v>
      </c>
      <c r="F151" s="1310"/>
      <c r="G151" s="822" t="s">
        <v>21</v>
      </c>
      <c r="H151" s="823">
        <f t="shared" si="35"/>
        <v>1400000</v>
      </c>
      <c r="I151" s="824">
        <f t="shared" si="36"/>
        <v>1400000</v>
      </c>
      <c r="J151" s="824">
        <v>0</v>
      </c>
      <c r="K151" s="824">
        <v>1400000</v>
      </c>
      <c r="L151" s="824">
        <f>M151+N151</f>
        <v>0</v>
      </c>
      <c r="M151" s="824">
        <v>0</v>
      </c>
      <c r="N151" s="824">
        <v>0</v>
      </c>
    </row>
    <row r="152" spans="1:14" s="825" customFormat="1" ht="15" hidden="1" customHeight="1">
      <c r="A152" s="1305"/>
      <c r="B152" s="1306"/>
      <c r="C152" s="1307"/>
      <c r="D152" s="1308"/>
      <c r="E152" s="1311"/>
      <c r="F152" s="1312"/>
      <c r="G152" s="822" t="s">
        <v>22</v>
      </c>
      <c r="H152" s="823">
        <f t="shared" si="35"/>
        <v>0</v>
      </c>
      <c r="I152" s="824">
        <f t="shared" si="36"/>
        <v>0</v>
      </c>
      <c r="J152" s="824">
        <v>0</v>
      </c>
      <c r="K152" s="824">
        <v>0</v>
      </c>
      <c r="L152" s="824">
        <f>M152+N152</f>
        <v>0</v>
      </c>
      <c r="M152" s="824">
        <v>0</v>
      </c>
      <c r="N152" s="824">
        <v>0</v>
      </c>
    </row>
    <row r="153" spans="1:14" s="825" customFormat="1" ht="15" hidden="1" customHeight="1">
      <c r="A153" s="1305"/>
      <c r="B153" s="1306"/>
      <c r="C153" s="1307"/>
      <c r="D153" s="1308"/>
      <c r="E153" s="1313"/>
      <c r="F153" s="1314"/>
      <c r="G153" s="822" t="s">
        <v>23</v>
      </c>
      <c r="H153" s="823">
        <f>I153+L153</f>
        <v>1400000</v>
      </c>
      <c r="I153" s="824">
        <f>J153+K153</f>
        <v>1400000</v>
      </c>
      <c r="J153" s="824">
        <f>J151+J152</f>
        <v>0</v>
      </c>
      <c r="K153" s="824">
        <f>K151+K152</f>
        <v>1400000</v>
      </c>
      <c r="L153" s="824">
        <f>M153+N153</f>
        <v>0</v>
      </c>
      <c r="M153" s="824">
        <f>M151+M152</f>
        <v>0</v>
      </c>
      <c r="N153" s="824">
        <f>N151+N152</f>
        <v>0</v>
      </c>
    </row>
    <row r="154" spans="1:14" s="734" customFormat="1" ht="14.85" customHeight="1">
      <c r="A154" s="1269" t="s">
        <v>324</v>
      </c>
      <c r="B154" s="1293"/>
      <c r="C154" s="1293"/>
      <c r="D154" s="1293"/>
      <c r="E154" s="1293"/>
      <c r="F154" s="1294"/>
      <c r="G154" s="816" t="s">
        <v>21</v>
      </c>
      <c r="H154" s="804">
        <f t="shared" si="35"/>
        <v>6491950</v>
      </c>
      <c r="I154" s="805">
        <f t="shared" si="36"/>
        <v>6491950</v>
      </c>
      <c r="J154" s="805">
        <f t="shared" ref="J154:K156" si="50">J157+J160</f>
        <v>0</v>
      </c>
      <c r="K154" s="805">
        <f t="shared" si="50"/>
        <v>6491950</v>
      </c>
      <c r="L154" s="805">
        <f t="shared" ref="L154:L180" si="51">M154+N154</f>
        <v>0</v>
      </c>
      <c r="M154" s="805">
        <f t="shared" ref="M154:N156" si="52">M157+M160</f>
        <v>0</v>
      </c>
      <c r="N154" s="805">
        <f t="shared" si="52"/>
        <v>0</v>
      </c>
    </row>
    <row r="155" spans="1:14" s="734" customFormat="1" ht="14.85" customHeight="1">
      <c r="A155" s="1295"/>
      <c r="B155" s="1296"/>
      <c r="C155" s="1296"/>
      <c r="D155" s="1296"/>
      <c r="E155" s="1296"/>
      <c r="F155" s="1297"/>
      <c r="G155" s="816" t="s">
        <v>22</v>
      </c>
      <c r="H155" s="804">
        <f t="shared" si="35"/>
        <v>58065</v>
      </c>
      <c r="I155" s="805">
        <f t="shared" si="36"/>
        <v>58065</v>
      </c>
      <c r="J155" s="805">
        <f t="shared" si="50"/>
        <v>0</v>
      </c>
      <c r="K155" s="805">
        <f t="shared" si="50"/>
        <v>58065</v>
      </c>
      <c r="L155" s="805">
        <f t="shared" si="51"/>
        <v>0</v>
      </c>
      <c r="M155" s="805">
        <f t="shared" si="52"/>
        <v>0</v>
      </c>
      <c r="N155" s="805">
        <f t="shared" si="52"/>
        <v>0</v>
      </c>
    </row>
    <row r="156" spans="1:14" s="734" customFormat="1" ht="14.85" customHeight="1">
      <c r="A156" s="1298"/>
      <c r="B156" s="1299"/>
      <c r="C156" s="1299"/>
      <c r="D156" s="1299"/>
      <c r="E156" s="1299"/>
      <c r="F156" s="1300"/>
      <c r="G156" s="816" t="s">
        <v>23</v>
      </c>
      <c r="H156" s="804">
        <f t="shared" si="35"/>
        <v>6550015</v>
      </c>
      <c r="I156" s="805">
        <f t="shared" si="36"/>
        <v>6550015</v>
      </c>
      <c r="J156" s="805">
        <f t="shared" si="50"/>
        <v>0</v>
      </c>
      <c r="K156" s="805">
        <f t="shared" si="50"/>
        <v>6550015</v>
      </c>
      <c r="L156" s="805">
        <f t="shared" si="51"/>
        <v>0</v>
      </c>
      <c r="M156" s="805">
        <f t="shared" si="52"/>
        <v>0</v>
      </c>
      <c r="N156" s="805">
        <f t="shared" si="52"/>
        <v>0</v>
      </c>
    </row>
    <row r="157" spans="1:14" s="721" customFormat="1" ht="14.85" customHeight="1">
      <c r="A157" s="1278" t="s">
        <v>300</v>
      </c>
      <c r="B157" s="1279"/>
      <c r="C157" s="1280" t="s">
        <v>322</v>
      </c>
      <c r="D157" s="1281"/>
      <c r="E157" s="1254" t="s">
        <v>1065</v>
      </c>
      <c r="F157" s="1255"/>
      <c r="G157" s="814" t="s">
        <v>21</v>
      </c>
      <c r="H157" s="808">
        <f t="shared" si="35"/>
        <v>6371950</v>
      </c>
      <c r="I157" s="809">
        <f t="shared" si="36"/>
        <v>6371950</v>
      </c>
      <c r="J157" s="809">
        <v>0</v>
      </c>
      <c r="K157" s="809">
        <v>6371950</v>
      </c>
      <c r="L157" s="809">
        <f t="shared" si="51"/>
        <v>0</v>
      </c>
      <c r="M157" s="809">
        <v>0</v>
      </c>
      <c r="N157" s="809">
        <v>0</v>
      </c>
    </row>
    <row r="158" spans="1:14" s="721" customFormat="1" ht="14.85" customHeight="1">
      <c r="A158" s="1282"/>
      <c r="B158" s="1283"/>
      <c r="C158" s="1284"/>
      <c r="D158" s="1285"/>
      <c r="E158" s="1288"/>
      <c r="F158" s="1289"/>
      <c r="G158" s="814" t="s">
        <v>22</v>
      </c>
      <c r="H158" s="808">
        <f t="shared" si="35"/>
        <v>58065</v>
      </c>
      <c r="I158" s="809">
        <f t="shared" si="36"/>
        <v>58065</v>
      </c>
      <c r="J158" s="809">
        <v>0</v>
      </c>
      <c r="K158" s="809">
        <v>58065</v>
      </c>
      <c r="L158" s="809">
        <f t="shared" si="51"/>
        <v>0</v>
      </c>
      <c r="M158" s="809">
        <v>0</v>
      </c>
      <c r="N158" s="809">
        <v>0</v>
      </c>
    </row>
    <row r="159" spans="1:14" s="721" customFormat="1" ht="14.85" customHeight="1">
      <c r="A159" s="1282"/>
      <c r="B159" s="1283"/>
      <c r="C159" s="1284"/>
      <c r="D159" s="1285"/>
      <c r="E159" s="1290"/>
      <c r="F159" s="1291"/>
      <c r="G159" s="811" t="s">
        <v>23</v>
      </c>
      <c r="H159" s="808">
        <f t="shared" si="35"/>
        <v>6430015</v>
      </c>
      <c r="I159" s="809">
        <f t="shared" si="36"/>
        <v>6430015</v>
      </c>
      <c r="J159" s="809">
        <f>J157+J158</f>
        <v>0</v>
      </c>
      <c r="K159" s="809">
        <f>K157+K158</f>
        <v>6430015</v>
      </c>
      <c r="L159" s="809">
        <f t="shared" si="51"/>
        <v>0</v>
      </c>
      <c r="M159" s="809">
        <f>M157+M158</f>
        <v>0</v>
      </c>
      <c r="N159" s="809">
        <f>N157+N158</f>
        <v>0</v>
      </c>
    </row>
    <row r="160" spans="1:14" s="721" customFormat="1" ht="15" hidden="1" customHeight="1">
      <c r="A160" s="1282"/>
      <c r="B160" s="1283"/>
      <c r="C160" s="1284"/>
      <c r="D160" s="1285"/>
      <c r="E160" s="1254" t="s">
        <v>1081</v>
      </c>
      <c r="F160" s="1255"/>
      <c r="G160" s="814" t="s">
        <v>21</v>
      </c>
      <c r="H160" s="779">
        <f t="shared" si="35"/>
        <v>120000</v>
      </c>
      <c r="I160" s="780">
        <f t="shared" si="36"/>
        <v>120000</v>
      </c>
      <c r="J160" s="780">
        <v>0</v>
      </c>
      <c r="K160" s="780">
        <v>120000</v>
      </c>
      <c r="L160" s="780">
        <f t="shared" si="51"/>
        <v>0</v>
      </c>
      <c r="M160" s="780">
        <v>0</v>
      </c>
      <c r="N160" s="780">
        <v>0</v>
      </c>
    </row>
    <row r="161" spans="1:14" s="721" customFormat="1" ht="15" hidden="1" customHeight="1">
      <c r="A161" s="1282"/>
      <c r="B161" s="1283"/>
      <c r="C161" s="1284"/>
      <c r="D161" s="1285"/>
      <c r="E161" s="1288"/>
      <c r="F161" s="1289"/>
      <c r="G161" s="814" t="s">
        <v>22</v>
      </c>
      <c r="H161" s="779">
        <f t="shared" si="35"/>
        <v>0</v>
      </c>
      <c r="I161" s="780">
        <f t="shared" si="36"/>
        <v>0</v>
      </c>
      <c r="J161" s="780">
        <v>0</v>
      </c>
      <c r="K161" s="780">
        <v>0</v>
      </c>
      <c r="L161" s="780">
        <f t="shared" si="51"/>
        <v>0</v>
      </c>
      <c r="M161" s="780">
        <v>0</v>
      </c>
      <c r="N161" s="780">
        <v>0</v>
      </c>
    </row>
    <row r="162" spans="1:14" s="721" customFormat="1" ht="15" hidden="1" customHeight="1">
      <c r="A162" s="1282"/>
      <c r="B162" s="1283"/>
      <c r="C162" s="1284"/>
      <c r="D162" s="1285"/>
      <c r="E162" s="1290"/>
      <c r="F162" s="1291"/>
      <c r="G162" s="811" t="s">
        <v>23</v>
      </c>
      <c r="H162" s="808">
        <f t="shared" si="35"/>
        <v>120000</v>
      </c>
      <c r="I162" s="809">
        <f t="shared" si="36"/>
        <v>120000</v>
      </c>
      <c r="J162" s="809">
        <f>J160+J161</f>
        <v>0</v>
      </c>
      <c r="K162" s="809">
        <f>K160+K161</f>
        <v>120000</v>
      </c>
      <c r="L162" s="809">
        <f t="shared" si="51"/>
        <v>0</v>
      </c>
      <c r="M162" s="809">
        <f>M160+M161</f>
        <v>0</v>
      </c>
      <c r="N162" s="809">
        <f>N160+N161</f>
        <v>0</v>
      </c>
    </row>
    <row r="163" spans="1:14" s="734" customFormat="1" ht="14.85" customHeight="1">
      <c r="A163" s="1316" t="s">
        <v>330</v>
      </c>
      <c r="B163" s="1317"/>
      <c r="C163" s="1317"/>
      <c r="D163" s="1317"/>
      <c r="E163" s="1317"/>
      <c r="F163" s="1318"/>
      <c r="G163" s="816" t="s">
        <v>21</v>
      </c>
      <c r="H163" s="804">
        <f t="shared" si="35"/>
        <v>5513959</v>
      </c>
      <c r="I163" s="805">
        <f t="shared" si="36"/>
        <v>5513959</v>
      </c>
      <c r="J163" s="805">
        <f t="shared" ref="J163:K165" si="53">J166+J169+J172</f>
        <v>0</v>
      </c>
      <c r="K163" s="805">
        <f t="shared" si="53"/>
        <v>5513959</v>
      </c>
      <c r="L163" s="805">
        <f t="shared" si="51"/>
        <v>0</v>
      </c>
      <c r="M163" s="805">
        <f t="shared" ref="M163:N165" si="54">M166+M169+M172</f>
        <v>0</v>
      </c>
      <c r="N163" s="805">
        <f t="shared" si="54"/>
        <v>0</v>
      </c>
    </row>
    <row r="164" spans="1:14" s="734" customFormat="1" ht="14.85" customHeight="1">
      <c r="A164" s="1319"/>
      <c r="B164" s="1320"/>
      <c r="C164" s="1320"/>
      <c r="D164" s="1320"/>
      <c r="E164" s="1320"/>
      <c r="F164" s="1321"/>
      <c r="G164" s="816" t="s">
        <v>22</v>
      </c>
      <c r="H164" s="804">
        <f t="shared" si="35"/>
        <v>-57025</v>
      </c>
      <c r="I164" s="805">
        <f t="shared" si="36"/>
        <v>-57025</v>
      </c>
      <c r="J164" s="805">
        <f t="shared" si="53"/>
        <v>0</v>
      </c>
      <c r="K164" s="805">
        <f t="shared" si="53"/>
        <v>-57025</v>
      </c>
      <c r="L164" s="805">
        <f t="shared" si="51"/>
        <v>0</v>
      </c>
      <c r="M164" s="805">
        <f t="shared" si="54"/>
        <v>0</v>
      </c>
      <c r="N164" s="805">
        <f t="shared" si="54"/>
        <v>0</v>
      </c>
    </row>
    <row r="165" spans="1:14" s="734" customFormat="1" ht="14.85" customHeight="1">
      <c r="A165" s="1322"/>
      <c r="B165" s="1323"/>
      <c r="C165" s="1323"/>
      <c r="D165" s="1323"/>
      <c r="E165" s="1323"/>
      <c r="F165" s="1324"/>
      <c r="G165" s="816" t="s">
        <v>23</v>
      </c>
      <c r="H165" s="804">
        <f t="shared" si="35"/>
        <v>5456934</v>
      </c>
      <c r="I165" s="805">
        <f t="shared" si="36"/>
        <v>5456934</v>
      </c>
      <c r="J165" s="805">
        <f t="shared" si="53"/>
        <v>0</v>
      </c>
      <c r="K165" s="805">
        <f t="shared" si="53"/>
        <v>5456934</v>
      </c>
      <c r="L165" s="805">
        <f t="shared" si="51"/>
        <v>0</v>
      </c>
      <c r="M165" s="805">
        <f t="shared" si="54"/>
        <v>0</v>
      </c>
      <c r="N165" s="805">
        <f t="shared" si="54"/>
        <v>0</v>
      </c>
    </row>
    <row r="166" spans="1:14" s="721" customFormat="1" ht="14.85" customHeight="1">
      <c r="A166" s="1278" t="s">
        <v>300</v>
      </c>
      <c r="B166" s="1279"/>
      <c r="C166" s="1280" t="s">
        <v>322</v>
      </c>
      <c r="D166" s="1281"/>
      <c r="E166" s="1254" t="s">
        <v>1065</v>
      </c>
      <c r="F166" s="1255"/>
      <c r="G166" s="814" t="s">
        <v>21</v>
      </c>
      <c r="H166" s="808">
        <f t="shared" si="35"/>
        <v>5105277</v>
      </c>
      <c r="I166" s="809">
        <f t="shared" si="36"/>
        <v>5105277</v>
      </c>
      <c r="J166" s="809">
        <v>0</v>
      </c>
      <c r="K166" s="809">
        <v>5105277</v>
      </c>
      <c r="L166" s="809">
        <f t="shared" si="51"/>
        <v>0</v>
      </c>
      <c r="M166" s="809">
        <v>0</v>
      </c>
      <c r="N166" s="809">
        <v>0</v>
      </c>
    </row>
    <row r="167" spans="1:14" s="721" customFormat="1" ht="14.85" customHeight="1">
      <c r="A167" s="1282"/>
      <c r="B167" s="1283"/>
      <c r="C167" s="1284"/>
      <c r="D167" s="1285"/>
      <c r="E167" s="1288"/>
      <c r="F167" s="1289"/>
      <c r="G167" s="814" t="s">
        <v>22</v>
      </c>
      <c r="H167" s="808">
        <f t="shared" si="35"/>
        <v>51975</v>
      </c>
      <c r="I167" s="809">
        <f t="shared" si="36"/>
        <v>51975</v>
      </c>
      <c r="J167" s="809">
        <v>0</v>
      </c>
      <c r="K167" s="809">
        <v>51975</v>
      </c>
      <c r="L167" s="809">
        <f t="shared" si="51"/>
        <v>0</v>
      </c>
      <c r="M167" s="809">
        <v>0</v>
      </c>
      <c r="N167" s="809">
        <v>0</v>
      </c>
    </row>
    <row r="168" spans="1:14" s="721" customFormat="1" ht="14.85" customHeight="1">
      <c r="A168" s="1282"/>
      <c r="B168" s="1283"/>
      <c r="C168" s="1284"/>
      <c r="D168" s="1285"/>
      <c r="E168" s="1290"/>
      <c r="F168" s="1291"/>
      <c r="G168" s="811" t="s">
        <v>23</v>
      </c>
      <c r="H168" s="808">
        <f t="shared" si="35"/>
        <v>5157252</v>
      </c>
      <c r="I168" s="809">
        <f t="shared" si="36"/>
        <v>5157252</v>
      </c>
      <c r="J168" s="809">
        <f>J166+J167</f>
        <v>0</v>
      </c>
      <c r="K168" s="809">
        <f>K166+K167</f>
        <v>5157252</v>
      </c>
      <c r="L168" s="809">
        <f t="shared" si="51"/>
        <v>0</v>
      </c>
      <c r="M168" s="809">
        <f>M166+M167</f>
        <v>0</v>
      </c>
      <c r="N168" s="809">
        <f>N166+N167</f>
        <v>0</v>
      </c>
    </row>
    <row r="169" spans="1:14" s="812" customFormat="1" ht="14.85" customHeight="1">
      <c r="A169" s="1286"/>
      <c r="B169" s="1287"/>
      <c r="C169" s="1260"/>
      <c r="D169" s="1261"/>
      <c r="E169" s="1254" t="s">
        <v>1082</v>
      </c>
      <c r="F169" s="1255"/>
      <c r="G169" s="814" t="s">
        <v>21</v>
      </c>
      <c r="H169" s="779">
        <f t="shared" si="35"/>
        <v>400000</v>
      </c>
      <c r="I169" s="780">
        <f t="shared" si="36"/>
        <v>400000</v>
      </c>
      <c r="J169" s="780">
        <v>0</v>
      </c>
      <c r="K169" s="780">
        <v>400000</v>
      </c>
      <c r="L169" s="780">
        <f t="shared" si="51"/>
        <v>0</v>
      </c>
      <c r="M169" s="780">
        <v>0</v>
      </c>
      <c r="N169" s="780">
        <v>0</v>
      </c>
    </row>
    <row r="170" spans="1:14" s="812" customFormat="1" ht="14.85" customHeight="1">
      <c r="A170" s="1286"/>
      <c r="B170" s="1287"/>
      <c r="C170" s="1260"/>
      <c r="D170" s="1261"/>
      <c r="E170" s="1288"/>
      <c r="F170" s="1289"/>
      <c r="G170" s="814" t="s">
        <v>22</v>
      </c>
      <c r="H170" s="779">
        <f t="shared" si="35"/>
        <v>-109000</v>
      </c>
      <c r="I170" s="780">
        <f t="shared" si="36"/>
        <v>-109000</v>
      </c>
      <c r="J170" s="780">
        <v>0</v>
      </c>
      <c r="K170" s="780">
        <v>-109000</v>
      </c>
      <c r="L170" s="780">
        <f t="shared" si="51"/>
        <v>0</v>
      </c>
      <c r="M170" s="780">
        <v>0</v>
      </c>
      <c r="N170" s="780">
        <v>0</v>
      </c>
    </row>
    <row r="171" spans="1:14" s="721" customFormat="1" ht="14.85" customHeight="1">
      <c r="A171" s="1282"/>
      <c r="B171" s="1283"/>
      <c r="C171" s="1284"/>
      <c r="D171" s="1285"/>
      <c r="E171" s="1290"/>
      <c r="F171" s="1291"/>
      <c r="G171" s="811" t="s">
        <v>23</v>
      </c>
      <c r="H171" s="808">
        <f t="shared" si="35"/>
        <v>291000</v>
      </c>
      <c r="I171" s="809">
        <f t="shared" si="36"/>
        <v>291000</v>
      </c>
      <c r="J171" s="809">
        <f>J169+J170</f>
        <v>0</v>
      </c>
      <c r="K171" s="809">
        <f>K169+K170</f>
        <v>291000</v>
      </c>
      <c r="L171" s="809">
        <f t="shared" si="51"/>
        <v>0</v>
      </c>
      <c r="M171" s="809">
        <f>M169+M170</f>
        <v>0</v>
      </c>
      <c r="N171" s="809">
        <f>N169+N170</f>
        <v>0</v>
      </c>
    </row>
    <row r="172" spans="1:14" s="812" customFormat="1" ht="15" hidden="1" customHeight="1">
      <c r="A172" s="1286"/>
      <c r="B172" s="1287"/>
      <c r="C172" s="1260"/>
      <c r="D172" s="1261"/>
      <c r="E172" s="1254" t="s">
        <v>1083</v>
      </c>
      <c r="F172" s="1255"/>
      <c r="G172" s="814" t="s">
        <v>21</v>
      </c>
      <c r="H172" s="779">
        <f>I172+L172</f>
        <v>8682</v>
      </c>
      <c r="I172" s="780">
        <f>J172+K172</f>
        <v>8682</v>
      </c>
      <c r="J172" s="780">
        <v>0</v>
      </c>
      <c r="K172" s="780">
        <v>8682</v>
      </c>
      <c r="L172" s="780">
        <f>M172+N172</f>
        <v>0</v>
      </c>
      <c r="M172" s="780">
        <v>0</v>
      </c>
      <c r="N172" s="780">
        <v>0</v>
      </c>
    </row>
    <row r="173" spans="1:14" s="812" customFormat="1" ht="15" hidden="1" customHeight="1">
      <c r="A173" s="1286"/>
      <c r="B173" s="1287"/>
      <c r="C173" s="1260"/>
      <c r="D173" s="1261"/>
      <c r="E173" s="1288"/>
      <c r="F173" s="1289"/>
      <c r="G173" s="814" t="s">
        <v>22</v>
      </c>
      <c r="H173" s="779">
        <f>I173+L173</f>
        <v>0</v>
      </c>
      <c r="I173" s="780">
        <f>J173+K173</f>
        <v>0</v>
      </c>
      <c r="J173" s="780">
        <v>0</v>
      </c>
      <c r="K173" s="780">
        <v>0</v>
      </c>
      <c r="L173" s="780">
        <f>M173+N173</f>
        <v>0</v>
      </c>
      <c r="M173" s="780">
        <v>0</v>
      </c>
      <c r="N173" s="780">
        <v>0</v>
      </c>
    </row>
    <row r="174" spans="1:14" s="721" customFormat="1" ht="15" hidden="1" customHeight="1">
      <c r="A174" s="1282"/>
      <c r="B174" s="1283"/>
      <c r="C174" s="1284"/>
      <c r="D174" s="1285"/>
      <c r="E174" s="1290"/>
      <c r="F174" s="1291"/>
      <c r="G174" s="811" t="s">
        <v>23</v>
      </c>
      <c r="H174" s="808">
        <f>I174+L174</f>
        <v>8682</v>
      </c>
      <c r="I174" s="809">
        <f>J174+K174</f>
        <v>8682</v>
      </c>
      <c r="J174" s="809">
        <f>J172+J173</f>
        <v>0</v>
      </c>
      <c r="K174" s="809">
        <f>K172+K173</f>
        <v>8682</v>
      </c>
      <c r="L174" s="809">
        <f>M174+N174</f>
        <v>0</v>
      </c>
      <c r="M174" s="809">
        <f>M172+M173</f>
        <v>0</v>
      </c>
      <c r="N174" s="809">
        <f>N172+N173</f>
        <v>0</v>
      </c>
    </row>
    <row r="175" spans="1:14" s="734" customFormat="1" ht="15" customHeight="1">
      <c r="A175" s="1269" t="s">
        <v>326</v>
      </c>
      <c r="B175" s="1293"/>
      <c r="C175" s="1293"/>
      <c r="D175" s="1293"/>
      <c r="E175" s="1293"/>
      <c r="F175" s="1294"/>
      <c r="G175" s="816" t="s">
        <v>21</v>
      </c>
      <c r="H175" s="804">
        <f t="shared" si="35"/>
        <v>3601000</v>
      </c>
      <c r="I175" s="805">
        <f t="shared" si="36"/>
        <v>3601000</v>
      </c>
      <c r="J175" s="805">
        <f t="shared" ref="J175:K177" si="55">J178</f>
        <v>0</v>
      </c>
      <c r="K175" s="805">
        <f t="shared" si="55"/>
        <v>3601000</v>
      </c>
      <c r="L175" s="805">
        <f t="shared" si="51"/>
        <v>0</v>
      </c>
      <c r="M175" s="805">
        <f t="shared" ref="M175:N177" si="56">M178</f>
        <v>0</v>
      </c>
      <c r="N175" s="805">
        <f t="shared" si="56"/>
        <v>0</v>
      </c>
    </row>
    <row r="176" spans="1:14" s="734" customFormat="1" ht="15" customHeight="1">
      <c r="A176" s="1295"/>
      <c r="B176" s="1296"/>
      <c r="C176" s="1296"/>
      <c r="D176" s="1296"/>
      <c r="E176" s="1296"/>
      <c r="F176" s="1297"/>
      <c r="G176" s="816" t="s">
        <v>22</v>
      </c>
      <c r="H176" s="804">
        <f t="shared" si="35"/>
        <v>36473</v>
      </c>
      <c r="I176" s="805">
        <f t="shared" si="36"/>
        <v>36473</v>
      </c>
      <c r="J176" s="805">
        <f t="shared" si="55"/>
        <v>0</v>
      </c>
      <c r="K176" s="805">
        <f t="shared" si="55"/>
        <v>36473</v>
      </c>
      <c r="L176" s="805">
        <f t="shared" si="51"/>
        <v>0</v>
      </c>
      <c r="M176" s="805">
        <f t="shared" si="56"/>
        <v>0</v>
      </c>
      <c r="N176" s="805">
        <f t="shared" si="56"/>
        <v>0</v>
      </c>
    </row>
    <row r="177" spans="1:14" s="734" customFormat="1" ht="15" customHeight="1">
      <c r="A177" s="1298"/>
      <c r="B177" s="1299"/>
      <c r="C177" s="1299"/>
      <c r="D177" s="1299"/>
      <c r="E177" s="1299"/>
      <c r="F177" s="1300"/>
      <c r="G177" s="816" t="s">
        <v>23</v>
      </c>
      <c r="H177" s="804">
        <f t="shared" si="35"/>
        <v>3637473</v>
      </c>
      <c r="I177" s="805">
        <f t="shared" si="36"/>
        <v>3637473</v>
      </c>
      <c r="J177" s="805">
        <f t="shared" si="55"/>
        <v>0</v>
      </c>
      <c r="K177" s="805">
        <f t="shared" si="55"/>
        <v>3637473</v>
      </c>
      <c r="L177" s="805">
        <f t="shared" si="51"/>
        <v>0</v>
      </c>
      <c r="M177" s="805">
        <f t="shared" si="56"/>
        <v>0</v>
      </c>
      <c r="N177" s="805">
        <f t="shared" si="56"/>
        <v>0</v>
      </c>
    </row>
    <row r="178" spans="1:14" s="721" customFormat="1" ht="15" customHeight="1">
      <c r="A178" s="1278" t="s">
        <v>300</v>
      </c>
      <c r="B178" s="1279"/>
      <c r="C178" s="1280" t="s">
        <v>322</v>
      </c>
      <c r="D178" s="1281"/>
      <c r="E178" s="1254" t="s">
        <v>1065</v>
      </c>
      <c r="F178" s="1255"/>
      <c r="G178" s="814" t="s">
        <v>21</v>
      </c>
      <c r="H178" s="808">
        <f t="shared" si="35"/>
        <v>3601000</v>
      </c>
      <c r="I178" s="809">
        <f t="shared" si="36"/>
        <v>3601000</v>
      </c>
      <c r="J178" s="809">
        <v>0</v>
      </c>
      <c r="K178" s="809">
        <v>3601000</v>
      </c>
      <c r="L178" s="809">
        <f t="shared" si="51"/>
        <v>0</v>
      </c>
      <c r="M178" s="809">
        <v>0</v>
      </c>
      <c r="N178" s="809">
        <v>0</v>
      </c>
    </row>
    <row r="179" spans="1:14" s="721" customFormat="1" ht="15" customHeight="1">
      <c r="A179" s="1282"/>
      <c r="B179" s="1283"/>
      <c r="C179" s="1284"/>
      <c r="D179" s="1285"/>
      <c r="E179" s="1288"/>
      <c r="F179" s="1289"/>
      <c r="G179" s="814" t="s">
        <v>22</v>
      </c>
      <c r="H179" s="808">
        <f t="shared" si="35"/>
        <v>36473</v>
      </c>
      <c r="I179" s="809">
        <f t="shared" si="36"/>
        <v>36473</v>
      </c>
      <c r="J179" s="809">
        <v>0</v>
      </c>
      <c r="K179" s="809">
        <v>36473</v>
      </c>
      <c r="L179" s="809">
        <f t="shared" si="51"/>
        <v>0</v>
      </c>
      <c r="M179" s="809">
        <v>0</v>
      </c>
      <c r="N179" s="809">
        <v>0</v>
      </c>
    </row>
    <row r="180" spans="1:14" s="721" customFormat="1" ht="15" customHeight="1">
      <c r="A180" s="1282"/>
      <c r="B180" s="1283"/>
      <c r="C180" s="1284"/>
      <c r="D180" s="1285"/>
      <c r="E180" s="1290"/>
      <c r="F180" s="1291"/>
      <c r="G180" s="811" t="s">
        <v>23</v>
      </c>
      <c r="H180" s="808">
        <f t="shared" si="35"/>
        <v>3637473</v>
      </c>
      <c r="I180" s="809">
        <f t="shared" si="36"/>
        <v>3637473</v>
      </c>
      <c r="J180" s="809">
        <f>J178+J179</f>
        <v>0</v>
      </c>
      <c r="K180" s="809">
        <f>K178+K179</f>
        <v>3637473</v>
      </c>
      <c r="L180" s="809">
        <f t="shared" si="51"/>
        <v>0</v>
      </c>
      <c r="M180" s="809">
        <f>M178+M179</f>
        <v>0</v>
      </c>
      <c r="N180" s="809">
        <f>N178+N179</f>
        <v>0</v>
      </c>
    </row>
    <row r="181" spans="1:14" s="764" customFormat="1" ht="3.95" customHeight="1">
      <c r="A181" s="784"/>
      <c r="B181" s="785"/>
      <c r="C181" s="785"/>
      <c r="D181" s="785"/>
      <c r="E181" s="786"/>
      <c r="F181" s="787"/>
      <c r="G181" s="745"/>
      <c r="H181" s="746"/>
      <c r="I181" s="747"/>
      <c r="J181" s="747"/>
      <c r="K181" s="747"/>
      <c r="L181" s="747"/>
      <c r="M181" s="747"/>
      <c r="N181" s="748"/>
    </row>
    <row r="182" spans="1:14" s="768" customFormat="1" ht="18" customHeight="1">
      <c r="A182" s="1243" t="s">
        <v>1084</v>
      </c>
      <c r="B182" s="1244"/>
      <c r="C182" s="1244"/>
      <c r="D182" s="1244"/>
      <c r="E182" s="1244"/>
      <c r="F182" s="1245"/>
      <c r="G182" s="765" t="s">
        <v>21</v>
      </c>
      <c r="H182" s="789">
        <f>I182+L182</f>
        <v>395168168</v>
      </c>
      <c r="I182" s="789">
        <f>J182+K182</f>
        <v>277616257</v>
      </c>
      <c r="J182" s="789">
        <f t="shared" ref="J182:K184" si="57">J186+J194+J364+J378+J386</f>
        <v>167787812</v>
      </c>
      <c r="K182" s="789">
        <f t="shared" si="57"/>
        <v>109828445</v>
      </c>
      <c r="L182" s="789">
        <f>M182+N182</f>
        <v>117551911</v>
      </c>
      <c r="M182" s="789">
        <f t="shared" ref="M182:N184" si="58">M186+M194+M364+M378+M386</f>
        <v>17775000</v>
      </c>
      <c r="N182" s="789">
        <f t="shared" si="58"/>
        <v>99776911</v>
      </c>
    </row>
    <row r="183" spans="1:14" s="768" customFormat="1" ht="18" customHeight="1">
      <c r="A183" s="1325"/>
      <c r="B183" s="1326"/>
      <c r="C183" s="1326"/>
      <c r="D183" s="1326"/>
      <c r="E183" s="1326"/>
      <c r="F183" s="1327"/>
      <c r="G183" s="829" t="s">
        <v>22</v>
      </c>
      <c r="H183" s="789">
        <f>I183+L183</f>
        <v>-69378557</v>
      </c>
      <c r="I183" s="789">
        <f>J183+K183</f>
        <v>-58431549</v>
      </c>
      <c r="J183" s="789">
        <f t="shared" si="57"/>
        <v>-49254678</v>
      </c>
      <c r="K183" s="789">
        <f t="shared" si="57"/>
        <v>-9176871</v>
      </c>
      <c r="L183" s="789">
        <f>M183+N183</f>
        <v>-10947008</v>
      </c>
      <c r="M183" s="789">
        <f t="shared" si="58"/>
        <v>-13856262</v>
      </c>
      <c r="N183" s="789">
        <f t="shared" si="58"/>
        <v>2909254</v>
      </c>
    </row>
    <row r="184" spans="1:14" s="768" customFormat="1" ht="18" customHeight="1">
      <c r="A184" s="1328"/>
      <c r="B184" s="1329"/>
      <c r="C184" s="1329"/>
      <c r="D184" s="1329"/>
      <c r="E184" s="1329"/>
      <c r="F184" s="1330"/>
      <c r="G184" s="830" t="s">
        <v>23</v>
      </c>
      <c r="H184" s="789">
        <f>I184+L184</f>
        <v>325789611</v>
      </c>
      <c r="I184" s="789">
        <f>J184+K184</f>
        <v>219184708</v>
      </c>
      <c r="J184" s="789">
        <f t="shared" si="57"/>
        <v>118533134</v>
      </c>
      <c r="K184" s="789">
        <f t="shared" si="57"/>
        <v>100651574</v>
      </c>
      <c r="L184" s="789">
        <f>M184+N184</f>
        <v>106604903</v>
      </c>
      <c r="M184" s="789">
        <f t="shared" si="58"/>
        <v>3918738</v>
      </c>
      <c r="N184" s="789">
        <f t="shared" si="58"/>
        <v>102686165</v>
      </c>
    </row>
    <row r="185" spans="1:14" s="764" customFormat="1" ht="3.95" customHeight="1">
      <c r="A185" s="771"/>
      <c r="B185" s="772"/>
      <c r="C185" s="772"/>
      <c r="D185" s="772"/>
      <c r="E185" s="773"/>
      <c r="F185" s="773"/>
      <c r="G185" s="774"/>
      <c r="H185" s="775"/>
      <c r="I185" s="776"/>
      <c r="J185" s="776"/>
      <c r="K185" s="776"/>
      <c r="L185" s="776"/>
      <c r="M185" s="776"/>
      <c r="N185" s="777"/>
    </row>
    <row r="186" spans="1:14" s="834" customFormat="1" ht="15" hidden="1" customHeight="1">
      <c r="A186" s="1331" t="s">
        <v>1085</v>
      </c>
      <c r="B186" s="1332"/>
      <c r="C186" s="1332"/>
      <c r="D186" s="1332"/>
      <c r="E186" s="1332"/>
      <c r="F186" s="1332"/>
      <c r="G186" s="831" t="s">
        <v>21</v>
      </c>
      <c r="H186" s="832">
        <f>I186+L186</f>
        <v>63618</v>
      </c>
      <c r="I186" s="833">
        <f>J186+K186</f>
        <v>0</v>
      </c>
      <c r="J186" s="833">
        <f t="shared" ref="J186:K188" si="59">J190</f>
        <v>0</v>
      </c>
      <c r="K186" s="833">
        <f t="shared" si="59"/>
        <v>0</v>
      </c>
      <c r="L186" s="833">
        <f>M186+N186</f>
        <v>63618</v>
      </c>
      <c r="M186" s="833">
        <f t="shared" ref="M186:N188" si="60">M190</f>
        <v>63618</v>
      </c>
      <c r="N186" s="833">
        <f t="shared" si="60"/>
        <v>0</v>
      </c>
    </row>
    <row r="187" spans="1:14" s="834" customFormat="1" ht="15" hidden="1" customHeight="1">
      <c r="A187" s="1333"/>
      <c r="B187" s="1334"/>
      <c r="C187" s="1334"/>
      <c r="D187" s="1334"/>
      <c r="E187" s="1334"/>
      <c r="F187" s="1334"/>
      <c r="G187" s="831" t="s">
        <v>22</v>
      </c>
      <c r="H187" s="832">
        <f>I187+L187</f>
        <v>0</v>
      </c>
      <c r="I187" s="833">
        <f>J187+K187</f>
        <v>0</v>
      </c>
      <c r="J187" s="833">
        <f t="shared" si="59"/>
        <v>0</v>
      </c>
      <c r="K187" s="833">
        <f t="shared" si="59"/>
        <v>0</v>
      </c>
      <c r="L187" s="833">
        <f>M187+N187</f>
        <v>0</v>
      </c>
      <c r="M187" s="833">
        <f t="shared" si="60"/>
        <v>0</v>
      </c>
      <c r="N187" s="833">
        <f t="shared" si="60"/>
        <v>0</v>
      </c>
    </row>
    <row r="188" spans="1:14" s="834" customFormat="1" ht="15" hidden="1" customHeight="1">
      <c r="A188" s="1335"/>
      <c r="B188" s="1336"/>
      <c r="C188" s="1336"/>
      <c r="D188" s="1336"/>
      <c r="E188" s="1336"/>
      <c r="F188" s="1336"/>
      <c r="G188" s="835" t="s">
        <v>23</v>
      </c>
      <c r="H188" s="832">
        <f>I188+L188</f>
        <v>63618</v>
      </c>
      <c r="I188" s="833">
        <f>J188+K188</f>
        <v>0</v>
      </c>
      <c r="J188" s="833">
        <f t="shared" si="59"/>
        <v>0</v>
      </c>
      <c r="K188" s="833">
        <f t="shared" si="59"/>
        <v>0</v>
      </c>
      <c r="L188" s="833">
        <f>M188+N188</f>
        <v>63618</v>
      </c>
      <c r="M188" s="833">
        <f t="shared" si="60"/>
        <v>63618</v>
      </c>
      <c r="N188" s="833">
        <f t="shared" si="60"/>
        <v>0</v>
      </c>
    </row>
    <row r="189" spans="1:14" s="802" customFormat="1" ht="3.95" hidden="1" customHeight="1">
      <c r="A189" s="836"/>
      <c r="B189" s="837"/>
      <c r="C189" s="797"/>
      <c r="D189" s="797"/>
      <c r="E189" s="797"/>
      <c r="F189" s="797"/>
      <c r="G189" s="838"/>
      <c r="H189" s="799"/>
      <c r="I189" s="800"/>
      <c r="J189" s="800"/>
      <c r="K189" s="800"/>
      <c r="L189" s="800"/>
      <c r="M189" s="800"/>
      <c r="N189" s="801"/>
    </row>
    <row r="190" spans="1:14" s="812" customFormat="1" ht="15" hidden="1" customHeight="1">
      <c r="A190" s="1337" t="s">
        <v>388</v>
      </c>
      <c r="B190" s="1338"/>
      <c r="C190" s="1252" t="s">
        <v>1086</v>
      </c>
      <c r="D190" s="1253"/>
      <c r="E190" s="839" t="s">
        <v>652</v>
      </c>
      <c r="F190" s="1339" t="s">
        <v>1087</v>
      </c>
      <c r="G190" s="814" t="s">
        <v>21</v>
      </c>
      <c r="H190" s="779">
        <f>I190+L190</f>
        <v>63618</v>
      </c>
      <c r="I190" s="780">
        <f>J190+K190</f>
        <v>0</v>
      </c>
      <c r="J190" s="780">
        <v>0</v>
      </c>
      <c r="K190" s="780">
        <v>0</v>
      </c>
      <c r="L190" s="780">
        <f>M190+N190</f>
        <v>63618</v>
      </c>
      <c r="M190" s="780">
        <v>63618</v>
      </c>
      <c r="N190" s="780">
        <v>0</v>
      </c>
    </row>
    <row r="191" spans="1:14" s="812" customFormat="1" ht="15" hidden="1" customHeight="1">
      <c r="A191" s="1286"/>
      <c r="B191" s="1292"/>
      <c r="C191" s="1260"/>
      <c r="D191" s="1292"/>
      <c r="E191" s="840"/>
      <c r="F191" s="1340"/>
      <c r="G191" s="814" t="s">
        <v>22</v>
      </c>
      <c r="H191" s="779">
        <f>I191+L191</f>
        <v>0</v>
      </c>
      <c r="I191" s="780">
        <f>J191+K191</f>
        <v>0</v>
      </c>
      <c r="J191" s="780">
        <v>0</v>
      </c>
      <c r="K191" s="780">
        <v>0</v>
      </c>
      <c r="L191" s="780">
        <f>M191+N191</f>
        <v>0</v>
      </c>
      <c r="M191" s="780">
        <v>0</v>
      </c>
      <c r="N191" s="780">
        <v>0</v>
      </c>
    </row>
    <row r="192" spans="1:14" s="721" customFormat="1" ht="15" hidden="1" customHeight="1">
      <c r="A192" s="1282"/>
      <c r="B192" s="1283"/>
      <c r="C192" s="1303"/>
      <c r="D192" s="1304"/>
      <c r="E192" s="841"/>
      <c r="F192" s="1341"/>
      <c r="G192" s="818" t="s">
        <v>23</v>
      </c>
      <c r="H192" s="779">
        <f>I192+L192</f>
        <v>63618</v>
      </c>
      <c r="I192" s="780">
        <f>J192+K192</f>
        <v>0</v>
      </c>
      <c r="J192" s="780">
        <f>J190+J191</f>
        <v>0</v>
      </c>
      <c r="K192" s="780">
        <f>K190+K191</f>
        <v>0</v>
      </c>
      <c r="L192" s="780">
        <f>M192+N192</f>
        <v>63618</v>
      </c>
      <c r="M192" s="780">
        <f>M190+M191</f>
        <v>63618</v>
      </c>
      <c r="N192" s="780">
        <f>N190+N191</f>
        <v>0</v>
      </c>
    </row>
    <row r="193" spans="1:14" s="802" customFormat="1" ht="3.95" hidden="1" customHeight="1">
      <c r="A193" s="836"/>
      <c r="B193" s="837"/>
      <c r="C193" s="797"/>
      <c r="D193" s="797"/>
      <c r="E193" s="797"/>
      <c r="F193" s="797"/>
      <c r="G193" s="838"/>
      <c r="H193" s="799"/>
      <c r="I193" s="800"/>
      <c r="J193" s="800"/>
      <c r="K193" s="800"/>
      <c r="L193" s="800"/>
      <c r="M193" s="800"/>
      <c r="N193" s="801"/>
    </row>
    <row r="194" spans="1:14" s="834" customFormat="1" ht="17.100000000000001" customHeight="1">
      <c r="A194" s="1342" t="s">
        <v>1088</v>
      </c>
      <c r="B194" s="1343"/>
      <c r="C194" s="1343"/>
      <c r="D194" s="1343"/>
      <c r="E194" s="1343"/>
      <c r="F194" s="1344"/>
      <c r="G194" s="842" t="s">
        <v>21</v>
      </c>
      <c r="H194" s="832">
        <f>I194+L194</f>
        <v>253643553</v>
      </c>
      <c r="I194" s="833">
        <f>J194+K194</f>
        <v>187328720</v>
      </c>
      <c r="J194" s="833">
        <f t="shared" ref="J194:K196" si="61">J198+J201+J204+J207+J210+J213+J216+J219+J222+J225+J228+J231+J234+J237+J240+J243+J246+J249+J252+J258+J255+J261+J264+J267+J273+J270+J276+J279+J282+J285+J288+J291+J294+J297+J300+J303+J306+J309+J312+J315+J318+J321+J324+J327+J330+J333+J336+J339+J342+J345+J348+J351+J354+J357+J360</f>
        <v>125886620</v>
      </c>
      <c r="K194" s="833">
        <f t="shared" si="61"/>
        <v>61442100</v>
      </c>
      <c r="L194" s="833">
        <f>M194+N194</f>
        <v>66314833</v>
      </c>
      <c r="M194" s="833">
        <f t="shared" ref="M194:N196" si="62">M198+M201+M204+M207+M210+M213+M216+M219+M222+M225+M228+M231+M234+M237+M240+M243+M246+M249+M252+M258+M255+M261+M264+M267+M273+M270+M276+M279+M282+M285+M288+M291+M294+M297+M300+M303+M306+M309+M312+M315+M318+M321+M324+M327+M330+M333+M336+M339+M342+M345+M348+M351+M354+M357+M360</f>
        <v>17595382</v>
      </c>
      <c r="N194" s="833">
        <f t="shared" si="62"/>
        <v>48719451</v>
      </c>
    </row>
    <row r="195" spans="1:14" s="834" customFormat="1" ht="17.100000000000001" customHeight="1">
      <c r="A195" s="1345"/>
      <c r="B195" s="1346"/>
      <c r="C195" s="1346"/>
      <c r="D195" s="1346"/>
      <c r="E195" s="1346"/>
      <c r="F195" s="1347"/>
      <c r="G195" s="843" t="s">
        <v>22</v>
      </c>
      <c r="H195" s="832">
        <f>I195+L195</f>
        <v>-71008485</v>
      </c>
      <c r="I195" s="833">
        <f>J195+K195</f>
        <v>-60440078</v>
      </c>
      <c r="J195" s="833">
        <f t="shared" si="61"/>
        <v>-51838692</v>
      </c>
      <c r="K195" s="833">
        <f t="shared" si="61"/>
        <v>-8601386</v>
      </c>
      <c r="L195" s="833">
        <f>M195+N195</f>
        <v>-10568407</v>
      </c>
      <c r="M195" s="833">
        <f t="shared" si="62"/>
        <v>-13856262</v>
      </c>
      <c r="N195" s="833">
        <f t="shared" si="62"/>
        <v>3287855</v>
      </c>
    </row>
    <row r="196" spans="1:14" s="834" customFormat="1" ht="17.100000000000001" customHeight="1">
      <c r="A196" s="1348"/>
      <c r="B196" s="1349"/>
      <c r="C196" s="1349"/>
      <c r="D196" s="1349"/>
      <c r="E196" s="1349"/>
      <c r="F196" s="1350"/>
      <c r="G196" s="844" t="s">
        <v>23</v>
      </c>
      <c r="H196" s="832">
        <f>I196+L196</f>
        <v>182635068</v>
      </c>
      <c r="I196" s="833">
        <f>J196+K196</f>
        <v>126888642</v>
      </c>
      <c r="J196" s="833">
        <f t="shared" si="61"/>
        <v>74047928</v>
      </c>
      <c r="K196" s="833">
        <f t="shared" si="61"/>
        <v>52840714</v>
      </c>
      <c r="L196" s="833">
        <f>M196+N196</f>
        <v>55746426</v>
      </c>
      <c r="M196" s="833">
        <f t="shared" si="62"/>
        <v>3739120</v>
      </c>
      <c r="N196" s="833">
        <f t="shared" si="62"/>
        <v>52007306</v>
      </c>
    </row>
    <row r="197" spans="1:14" s="802" customFormat="1" ht="3.95" customHeight="1">
      <c r="A197" s="796"/>
      <c r="B197" s="797"/>
      <c r="C197" s="797"/>
      <c r="D197" s="797"/>
      <c r="E197" s="797"/>
      <c r="F197" s="797"/>
      <c r="G197" s="798"/>
      <c r="H197" s="799"/>
      <c r="I197" s="800"/>
      <c r="J197" s="800"/>
      <c r="K197" s="800"/>
      <c r="L197" s="800"/>
      <c r="M197" s="800"/>
      <c r="N197" s="801"/>
    </row>
    <row r="198" spans="1:14" s="721" customFormat="1" ht="15.2" customHeight="1">
      <c r="A198" s="1278" t="s">
        <v>45</v>
      </c>
      <c r="B198" s="1279"/>
      <c r="C198" s="1280" t="s">
        <v>47</v>
      </c>
      <c r="D198" s="1281"/>
      <c r="E198" s="845" t="s">
        <v>741</v>
      </c>
      <c r="F198" s="1339" t="s">
        <v>743</v>
      </c>
      <c r="G198" s="846" t="s">
        <v>21</v>
      </c>
      <c r="H198" s="779">
        <f>I198+L198</f>
        <v>0</v>
      </c>
      <c r="I198" s="780">
        <f>J198+K198</f>
        <v>0</v>
      </c>
      <c r="J198" s="780">
        <v>0</v>
      </c>
      <c r="K198" s="780">
        <v>0</v>
      </c>
      <c r="L198" s="780">
        <f>M198+N198</f>
        <v>0</v>
      </c>
      <c r="M198" s="780">
        <v>0</v>
      </c>
      <c r="N198" s="780">
        <v>0</v>
      </c>
    </row>
    <row r="199" spans="1:14" s="721" customFormat="1" ht="15.2" customHeight="1">
      <c r="A199" s="1282"/>
      <c r="B199" s="1292"/>
      <c r="C199" s="1284"/>
      <c r="D199" s="1292"/>
      <c r="E199" s="847"/>
      <c r="F199" s="1340"/>
      <c r="G199" s="814" t="s">
        <v>22</v>
      </c>
      <c r="H199" s="779">
        <f>I199+L199</f>
        <v>6000000</v>
      </c>
      <c r="I199" s="780">
        <f>J199+K199</f>
        <v>0</v>
      </c>
      <c r="J199" s="780">
        <v>0</v>
      </c>
      <c r="K199" s="780">
        <v>0</v>
      </c>
      <c r="L199" s="780">
        <f>M199+N199</f>
        <v>6000000</v>
      </c>
      <c r="M199" s="780">
        <v>0</v>
      </c>
      <c r="N199" s="780">
        <v>6000000</v>
      </c>
    </row>
    <row r="200" spans="1:14" s="721" customFormat="1" ht="15.2" customHeight="1">
      <c r="A200" s="1301"/>
      <c r="B200" s="1302"/>
      <c r="C200" s="1303"/>
      <c r="D200" s="1304"/>
      <c r="E200" s="848"/>
      <c r="F200" s="1341"/>
      <c r="G200" s="818" t="s">
        <v>23</v>
      </c>
      <c r="H200" s="779">
        <f>I200+L200</f>
        <v>6000000</v>
      </c>
      <c r="I200" s="780">
        <f>J200+K200</f>
        <v>0</v>
      </c>
      <c r="J200" s="780">
        <f>J198+J199</f>
        <v>0</v>
      </c>
      <c r="K200" s="780">
        <f>K198+K199</f>
        <v>0</v>
      </c>
      <c r="L200" s="780">
        <f>M200+N200</f>
        <v>6000000</v>
      </c>
      <c r="M200" s="780">
        <f>M198+M199</f>
        <v>0</v>
      </c>
      <c r="N200" s="780">
        <f>N198+N199</f>
        <v>6000000</v>
      </c>
    </row>
    <row r="201" spans="1:14" s="721" customFormat="1" ht="14.85" customHeight="1">
      <c r="A201" s="1278"/>
      <c r="B201" s="1279"/>
      <c r="C201" s="1280" t="s">
        <v>49</v>
      </c>
      <c r="D201" s="1281"/>
      <c r="E201" s="845" t="s">
        <v>936</v>
      </c>
      <c r="F201" s="1339" t="s">
        <v>938</v>
      </c>
      <c r="G201" s="846" t="s">
        <v>21</v>
      </c>
      <c r="H201" s="779">
        <f t="shared" ref="H201:H232" si="63">I201+L201</f>
        <v>356351</v>
      </c>
      <c r="I201" s="780">
        <f t="shared" ref="I201:I232" si="64">J201+K201</f>
        <v>0</v>
      </c>
      <c r="J201" s="780">
        <v>0</v>
      </c>
      <c r="K201" s="780">
        <v>0</v>
      </c>
      <c r="L201" s="780">
        <f t="shared" ref="L201:L232" si="65">M201+N201</f>
        <v>356351</v>
      </c>
      <c r="M201" s="780">
        <v>0</v>
      </c>
      <c r="N201" s="780">
        <v>356351</v>
      </c>
    </row>
    <row r="202" spans="1:14" s="721" customFormat="1" ht="14.85" customHeight="1">
      <c r="A202" s="1282"/>
      <c r="B202" s="1292"/>
      <c r="C202" s="1284"/>
      <c r="D202" s="1292"/>
      <c r="E202" s="847"/>
      <c r="F202" s="1340"/>
      <c r="G202" s="814" t="s">
        <v>22</v>
      </c>
      <c r="H202" s="779">
        <f t="shared" si="63"/>
        <v>-7965</v>
      </c>
      <c r="I202" s="780">
        <f t="shared" si="64"/>
        <v>0</v>
      </c>
      <c r="J202" s="780">
        <v>0</v>
      </c>
      <c r="K202" s="780">
        <v>0</v>
      </c>
      <c r="L202" s="780">
        <f t="shared" si="65"/>
        <v>-7965</v>
      </c>
      <c r="M202" s="780">
        <v>0</v>
      </c>
      <c r="N202" s="780">
        <v>-7965</v>
      </c>
    </row>
    <row r="203" spans="1:14" s="721" customFormat="1" ht="14.85" customHeight="1">
      <c r="A203" s="1282"/>
      <c r="B203" s="1283"/>
      <c r="C203" s="1284"/>
      <c r="D203" s="1285"/>
      <c r="E203" s="847"/>
      <c r="F203" s="1341"/>
      <c r="G203" s="810" t="s">
        <v>23</v>
      </c>
      <c r="H203" s="779">
        <f t="shared" si="63"/>
        <v>348386</v>
      </c>
      <c r="I203" s="780">
        <f t="shared" si="64"/>
        <v>0</v>
      </c>
      <c r="J203" s="780">
        <f>J201+J202</f>
        <v>0</v>
      </c>
      <c r="K203" s="780">
        <f>K201+K202</f>
        <v>0</v>
      </c>
      <c r="L203" s="780">
        <f t="shared" si="65"/>
        <v>348386</v>
      </c>
      <c r="M203" s="780">
        <f>M201+M202</f>
        <v>0</v>
      </c>
      <c r="N203" s="780">
        <f>N201+N202</f>
        <v>348386</v>
      </c>
    </row>
    <row r="204" spans="1:14" s="721" customFormat="1" ht="14.85" hidden="1" customHeight="1">
      <c r="A204" s="1282"/>
      <c r="B204" s="1283"/>
      <c r="C204" s="1284"/>
      <c r="D204" s="1285"/>
      <c r="E204" s="845" t="s">
        <v>890</v>
      </c>
      <c r="F204" s="1339" t="s">
        <v>966</v>
      </c>
      <c r="G204" s="814" t="s">
        <v>21</v>
      </c>
      <c r="H204" s="808">
        <f t="shared" si="63"/>
        <v>444445</v>
      </c>
      <c r="I204" s="809">
        <f t="shared" si="64"/>
        <v>0</v>
      </c>
      <c r="J204" s="809">
        <v>0</v>
      </c>
      <c r="K204" s="809">
        <v>0</v>
      </c>
      <c r="L204" s="809">
        <f t="shared" si="65"/>
        <v>444445</v>
      </c>
      <c r="M204" s="809">
        <v>0</v>
      </c>
      <c r="N204" s="809">
        <v>444445</v>
      </c>
    </row>
    <row r="205" spans="1:14" s="721" customFormat="1" ht="14.85" hidden="1" customHeight="1">
      <c r="A205" s="1282"/>
      <c r="B205" s="1292"/>
      <c r="C205" s="1284"/>
      <c r="D205" s="1292"/>
      <c r="E205" s="847"/>
      <c r="F205" s="1340"/>
      <c r="G205" s="814" t="s">
        <v>22</v>
      </c>
      <c r="H205" s="808">
        <f t="shared" si="63"/>
        <v>0</v>
      </c>
      <c r="I205" s="809">
        <f t="shared" si="64"/>
        <v>0</v>
      </c>
      <c r="J205" s="809">
        <v>0</v>
      </c>
      <c r="K205" s="809">
        <v>0</v>
      </c>
      <c r="L205" s="809">
        <f t="shared" si="65"/>
        <v>0</v>
      </c>
      <c r="M205" s="809">
        <v>0</v>
      </c>
      <c r="N205" s="809">
        <v>0</v>
      </c>
    </row>
    <row r="206" spans="1:14" s="721" customFormat="1" ht="14.85" hidden="1" customHeight="1">
      <c r="A206" s="1282"/>
      <c r="B206" s="1283"/>
      <c r="C206" s="1284"/>
      <c r="D206" s="1285"/>
      <c r="E206" s="847"/>
      <c r="F206" s="1341"/>
      <c r="G206" s="811" t="s">
        <v>23</v>
      </c>
      <c r="H206" s="808">
        <f t="shared" si="63"/>
        <v>444445</v>
      </c>
      <c r="I206" s="809">
        <f t="shared" si="64"/>
        <v>0</v>
      </c>
      <c r="J206" s="809">
        <f>J204+J205</f>
        <v>0</v>
      </c>
      <c r="K206" s="809">
        <f>K204+K205</f>
        <v>0</v>
      </c>
      <c r="L206" s="809">
        <f t="shared" si="65"/>
        <v>444445</v>
      </c>
      <c r="M206" s="809">
        <f>M204+M205</f>
        <v>0</v>
      </c>
      <c r="N206" s="809">
        <f>N204+N205</f>
        <v>444445</v>
      </c>
    </row>
    <row r="207" spans="1:14" s="812" customFormat="1" ht="14.85" hidden="1" customHeight="1">
      <c r="A207" s="1286"/>
      <c r="B207" s="1287"/>
      <c r="C207" s="1260"/>
      <c r="D207" s="1261"/>
      <c r="E207" s="840"/>
      <c r="F207" s="1339" t="s">
        <v>1089</v>
      </c>
      <c r="G207" s="814" t="s">
        <v>21</v>
      </c>
      <c r="H207" s="779">
        <f t="shared" si="63"/>
        <v>0</v>
      </c>
      <c r="I207" s="780">
        <f t="shared" si="64"/>
        <v>0</v>
      </c>
      <c r="J207" s="780">
        <v>0</v>
      </c>
      <c r="K207" s="780">
        <v>0</v>
      </c>
      <c r="L207" s="780">
        <f t="shared" si="65"/>
        <v>0</v>
      </c>
      <c r="M207" s="780">
        <v>0</v>
      </c>
      <c r="N207" s="780">
        <v>0</v>
      </c>
    </row>
    <row r="208" spans="1:14" s="812" customFormat="1" ht="14.85" hidden="1" customHeight="1">
      <c r="A208" s="1286"/>
      <c r="B208" s="1292"/>
      <c r="C208" s="1260"/>
      <c r="D208" s="1292"/>
      <c r="E208" s="840"/>
      <c r="F208" s="1340"/>
      <c r="G208" s="814" t="s">
        <v>22</v>
      </c>
      <c r="H208" s="779">
        <f t="shared" si="63"/>
        <v>0</v>
      </c>
      <c r="I208" s="780">
        <f t="shared" si="64"/>
        <v>0</v>
      </c>
      <c r="J208" s="780">
        <v>0</v>
      </c>
      <c r="K208" s="780">
        <v>0</v>
      </c>
      <c r="L208" s="780">
        <f t="shared" si="65"/>
        <v>0</v>
      </c>
      <c r="M208" s="780">
        <v>0</v>
      </c>
      <c r="N208" s="780">
        <v>0</v>
      </c>
    </row>
    <row r="209" spans="1:14" s="721" customFormat="1" ht="14.85" hidden="1" customHeight="1">
      <c r="A209" s="1282"/>
      <c r="B209" s="1283"/>
      <c r="C209" s="1284"/>
      <c r="D209" s="1285"/>
      <c r="E209" s="841"/>
      <c r="F209" s="1341"/>
      <c r="G209" s="818" t="s">
        <v>23</v>
      </c>
      <c r="H209" s="779">
        <f t="shared" si="63"/>
        <v>0</v>
      </c>
      <c r="I209" s="780">
        <f t="shared" si="64"/>
        <v>0</v>
      </c>
      <c r="J209" s="780">
        <f>J207+J208</f>
        <v>0</v>
      </c>
      <c r="K209" s="780">
        <f>K207+K208</f>
        <v>0</v>
      </c>
      <c r="L209" s="780">
        <f t="shared" si="65"/>
        <v>0</v>
      </c>
      <c r="M209" s="780">
        <f>M207+M208</f>
        <v>0</v>
      </c>
      <c r="N209" s="780">
        <f>N207+N208</f>
        <v>0</v>
      </c>
    </row>
    <row r="210" spans="1:14" s="721" customFormat="1" ht="14.85" customHeight="1">
      <c r="A210" s="1282"/>
      <c r="B210" s="1283"/>
      <c r="C210" s="1284"/>
      <c r="D210" s="1285"/>
      <c r="E210" s="845" t="s">
        <v>968</v>
      </c>
      <c r="F210" s="1340" t="s">
        <v>969</v>
      </c>
      <c r="G210" s="819" t="s">
        <v>21</v>
      </c>
      <c r="H210" s="820">
        <f t="shared" si="63"/>
        <v>712000</v>
      </c>
      <c r="I210" s="821">
        <f t="shared" si="64"/>
        <v>315930</v>
      </c>
      <c r="J210" s="821">
        <v>0</v>
      </c>
      <c r="K210" s="821">
        <v>315930</v>
      </c>
      <c r="L210" s="821">
        <f t="shared" si="65"/>
        <v>396070</v>
      </c>
      <c r="M210" s="821">
        <v>0</v>
      </c>
      <c r="N210" s="821">
        <v>396070</v>
      </c>
    </row>
    <row r="211" spans="1:14" s="721" customFormat="1" ht="14.85" customHeight="1">
      <c r="A211" s="1282"/>
      <c r="B211" s="1292"/>
      <c r="C211" s="1284"/>
      <c r="D211" s="1292"/>
      <c r="E211" s="847"/>
      <c r="F211" s="1340"/>
      <c r="G211" s="814" t="s">
        <v>22</v>
      </c>
      <c r="H211" s="779">
        <f t="shared" si="63"/>
        <v>-79640</v>
      </c>
      <c r="I211" s="780">
        <f t="shared" si="64"/>
        <v>0</v>
      </c>
      <c r="J211" s="780">
        <v>0</v>
      </c>
      <c r="K211" s="780">
        <v>0</v>
      </c>
      <c r="L211" s="780">
        <f t="shared" si="65"/>
        <v>-79640</v>
      </c>
      <c r="M211" s="780">
        <v>0</v>
      </c>
      <c r="N211" s="780">
        <v>-79640</v>
      </c>
    </row>
    <row r="212" spans="1:14" s="721" customFormat="1" ht="14.85" customHeight="1">
      <c r="A212" s="1282"/>
      <c r="B212" s="1283"/>
      <c r="C212" s="1284"/>
      <c r="D212" s="1285"/>
      <c r="E212" s="847"/>
      <c r="F212" s="1341"/>
      <c r="G212" s="811" t="s">
        <v>23</v>
      </c>
      <c r="H212" s="808">
        <f t="shared" si="63"/>
        <v>632360</v>
      </c>
      <c r="I212" s="809">
        <f t="shared" si="64"/>
        <v>315930</v>
      </c>
      <c r="J212" s="809">
        <f>J210+J211</f>
        <v>0</v>
      </c>
      <c r="K212" s="809">
        <f>K210+K211</f>
        <v>315930</v>
      </c>
      <c r="L212" s="809">
        <f t="shared" si="65"/>
        <v>316430</v>
      </c>
      <c r="M212" s="809">
        <f>M210+M211</f>
        <v>0</v>
      </c>
      <c r="N212" s="809">
        <f>N210+N211</f>
        <v>316430</v>
      </c>
    </row>
    <row r="213" spans="1:14" s="812" customFormat="1" ht="15" hidden="1" customHeight="1">
      <c r="A213" s="1337" t="s">
        <v>56</v>
      </c>
      <c r="B213" s="1338"/>
      <c r="C213" s="1252" t="s">
        <v>65</v>
      </c>
      <c r="D213" s="1253"/>
      <c r="E213" s="839" t="s">
        <v>770</v>
      </c>
      <c r="F213" s="1339" t="s">
        <v>771</v>
      </c>
      <c r="G213" s="814" t="s">
        <v>21</v>
      </c>
      <c r="H213" s="779">
        <f t="shared" si="63"/>
        <v>901148</v>
      </c>
      <c r="I213" s="780">
        <f t="shared" si="64"/>
        <v>901148</v>
      </c>
      <c r="J213" s="780">
        <v>901148</v>
      </c>
      <c r="K213" s="780">
        <v>0</v>
      </c>
      <c r="L213" s="780">
        <f t="shared" si="65"/>
        <v>0</v>
      </c>
      <c r="M213" s="780">
        <v>0</v>
      </c>
      <c r="N213" s="780">
        <v>0</v>
      </c>
    </row>
    <row r="214" spans="1:14" s="812" customFormat="1" ht="15" hidden="1" customHeight="1">
      <c r="A214" s="1286"/>
      <c r="B214" s="1292"/>
      <c r="C214" s="1260"/>
      <c r="D214" s="1292"/>
      <c r="E214" s="840"/>
      <c r="F214" s="1340"/>
      <c r="G214" s="814" t="s">
        <v>22</v>
      </c>
      <c r="H214" s="779">
        <f t="shared" si="63"/>
        <v>0</v>
      </c>
      <c r="I214" s="780">
        <f t="shared" si="64"/>
        <v>0</v>
      </c>
      <c r="J214" s="780">
        <v>0</v>
      </c>
      <c r="K214" s="780">
        <v>0</v>
      </c>
      <c r="L214" s="780">
        <f t="shared" si="65"/>
        <v>0</v>
      </c>
      <c r="M214" s="780">
        <v>0</v>
      </c>
      <c r="N214" s="780">
        <v>0</v>
      </c>
    </row>
    <row r="215" spans="1:14" s="721" customFormat="1" ht="15" hidden="1" customHeight="1">
      <c r="A215" s="1282"/>
      <c r="B215" s="1283"/>
      <c r="C215" s="1284"/>
      <c r="D215" s="1285"/>
      <c r="E215" s="840"/>
      <c r="F215" s="1341"/>
      <c r="G215" s="818" t="s">
        <v>23</v>
      </c>
      <c r="H215" s="779">
        <f t="shared" si="63"/>
        <v>901148</v>
      </c>
      <c r="I215" s="780">
        <f t="shared" si="64"/>
        <v>901148</v>
      </c>
      <c r="J215" s="780">
        <f>J213+J214</f>
        <v>901148</v>
      </c>
      <c r="K215" s="780">
        <f>K213+K214</f>
        <v>0</v>
      </c>
      <c r="L215" s="780">
        <f t="shared" si="65"/>
        <v>0</v>
      </c>
      <c r="M215" s="780">
        <f>M213+M214</f>
        <v>0</v>
      </c>
      <c r="N215" s="780">
        <f>N213+N214</f>
        <v>0</v>
      </c>
    </row>
    <row r="216" spans="1:14" s="812" customFormat="1" ht="45.75" hidden="1" customHeight="1">
      <c r="A216" s="1286"/>
      <c r="B216" s="1287"/>
      <c r="C216" s="1260"/>
      <c r="D216" s="1261"/>
      <c r="E216" s="840"/>
      <c r="F216" s="1351" t="s">
        <v>1090</v>
      </c>
      <c r="G216" s="814" t="s">
        <v>21</v>
      </c>
      <c r="H216" s="779">
        <f t="shared" si="63"/>
        <v>758779</v>
      </c>
      <c r="I216" s="780">
        <f t="shared" si="64"/>
        <v>758779</v>
      </c>
      <c r="J216" s="780">
        <v>758779</v>
      </c>
      <c r="K216" s="780">
        <v>0</v>
      </c>
      <c r="L216" s="780">
        <f t="shared" si="65"/>
        <v>0</v>
      </c>
      <c r="M216" s="780">
        <v>0</v>
      </c>
      <c r="N216" s="780">
        <v>0</v>
      </c>
    </row>
    <row r="217" spans="1:14" s="812" customFormat="1" ht="45.75" hidden="1" customHeight="1">
      <c r="A217" s="1286"/>
      <c r="B217" s="1292"/>
      <c r="C217" s="1260"/>
      <c r="D217" s="1292"/>
      <c r="E217" s="840"/>
      <c r="F217" s="1340"/>
      <c r="G217" s="814" t="s">
        <v>22</v>
      </c>
      <c r="H217" s="779">
        <f t="shared" si="63"/>
        <v>0</v>
      </c>
      <c r="I217" s="780">
        <f t="shared" si="64"/>
        <v>0</v>
      </c>
      <c r="J217" s="780">
        <v>0</v>
      </c>
      <c r="K217" s="780">
        <v>0</v>
      </c>
      <c r="L217" s="780">
        <f t="shared" si="65"/>
        <v>0</v>
      </c>
      <c r="M217" s="780">
        <v>0</v>
      </c>
      <c r="N217" s="780">
        <v>0</v>
      </c>
    </row>
    <row r="218" spans="1:14" s="812" customFormat="1" ht="45.75" hidden="1" customHeight="1">
      <c r="A218" s="1352"/>
      <c r="B218" s="1353"/>
      <c r="C218" s="1263"/>
      <c r="D218" s="1353"/>
      <c r="E218" s="841"/>
      <c r="F218" s="1341"/>
      <c r="G218" s="814" t="s">
        <v>23</v>
      </c>
      <c r="H218" s="779">
        <f t="shared" si="63"/>
        <v>758779</v>
      </c>
      <c r="I218" s="780">
        <f t="shared" si="64"/>
        <v>758779</v>
      </c>
      <c r="J218" s="780">
        <f>J216+J217</f>
        <v>758779</v>
      </c>
      <c r="K218" s="780">
        <f>K216+K217</f>
        <v>0</v>
      </c>
      <c r="L218" s="780">
        <f t="shared" si="65"/>
        <v>0</v>
      </c>
      <c r="M218" s="780">
        <f>M216+M217</f>
        <v>0</v>
      </c>
      <c r="N218" s="780">
        <f>N216+N217</f>
        <v>0</v>
      </c>
    </row>
    <row r="219" spans="1:14" s="721" customFormat="1" ht="15.95" hidden="1" customHeight="1">
      <c r="A219" s="1278" t="s">
        <v>93</v>
      </c>
      <c r="B219" s="1279"/>
      <c r="C219" s="1280" t="s">
        <v>95</v>
      </c>
      <c r="D219" s="1281"/>
      <c r="E219" s="845" t="s">
        <v>646</v>
      </c>
      <c r="F219" s="1339" t="s">
        <v>746</v>
      </c>
      <c r="G219" s="814" t="s">
        <v>21</v>
      </c>
      <c r="H219" s="779">
        <f t="shared" si="63"/>
        <v>30065208</v>
      </c>
      <c r="I219" s="780">
        <f t="shared" si="64"/>
        <v>30065208</v>
      </c>
      <c r="J219" s="780">
        <v>30065208</v>
      </c>
      <c r="K219" s="780">
        <v>0</v>
      </c>
      <c r="L219" s="780">
        <f t="shared" si="65"/>
        <v>0</v>
      </c>
      <c r="M219" s="780">
        <v>0</v>
      </c>
      <c r="N219" s="780">
        <v>0</v>
      </c>
    </row>
    <row r="220" spans="1:14" s="721" customFormat="1" ht="15.95" hidden="1" customHeight="1">
      <c r="A220" s="1282"/>
      <c r="B220" s="1292"/>
      <c r="C220" s="1284"/>
      <c r="D220" s="1292"/>
      <c r="E220" s="847"/>
      <c r="F220" s="1340"/>
      <c r="G220" s="814" t="s">
        <v>22</v>
      </c>
      <c r="H220" s="779">
        <f t="shared" si="63"/>
        <v>0</v>
      </c>
      <c r="I220" s="780">
        <f t="shared" si="64"/>
        <v>0</v>
      </c>
      <c r="J220" s="780">
        <v>0</v>
      </c>
      <c r="K220" s="780">
        <v>0</v>
      </c>
      <c r="L220" s="780">
        <f t="shared" si="65"/>
        <v>0</v>
      </c>
      <c r="M220" s="780">
        <v>0</v>
      </c>
      <c r="N220" s="780">
        <v>0</v>
      </c>
    </row>
    <row r="221" spans="1:14" s="721" customFormat="1" ht="15.95" hidden="1" customHeight="1">
      <c r="A221" s="1282"/>
      <c r="B221" s="1283"/>
      <c r="C221" s="1284"/>
      <c r="D221" s="1285"/>
      <c r="E221" s="840"/>
      <c r="F221" s="1341"/>
      <c r="G221" s="811" t="s">
        <v>23</v>
      </c>
      <c r="H221" s="808">
        <f>I221+L221</f>
        <v>30065208</v>
      </c>
      <c r="I221" s="809">
        <f>J221+K221</f>
        <v>30065208</v>
      </c>
      <c r="J221" s="809">
        <f>J219+J220</f>
        <v>30065208</v>
      </c>
      <c r="K221" s="809">
        <f>K219+K220</f>
        <v>0</v>
      </c>
      <c r="L221" s="809">
        <f>M221+N221</f>
        <v>0</v>
      </c>
      <c r="M221" s="809">
        <f>M219+M220</f>
        <v>0</v>
      </c>
      <c r="N221" s="809">
        <f>N219+N220</f>
        <v>0</v>
      </c>
    </row>
    <row r="222" spans="1:14" s="812" customFormat="1" ht="15.95" hidden="1" customHeight="1">
      <c r="A222" s="1286"/>
      <c r="B222" s="1287"/>
      <c r="C222" s="1260"/>
      <c r="D222" s="1261"/>
      <c r="E222" s="840"/>
      <c r="F222" s="1339" t="s">
        <v>748</v>
      </c>
      <c r="G222" s="814" t="s">
        <v>21</v>
      </c>
      <c r="H222" s="779">
        <f t="shared" si="63"/>
        <v>12000000</v>
      </c>
      <c r="I222" s="780">
        <f t="shared" si="64"/>
        <v>12000000</v>
      </c>
      <c r="J222" s="780">
        <v>12000000</v>
      </c>
      <c r="K222" s="780">
        <v>0</v>
      </c>
      <c r="L222" s="780">
        <f t="shared" si="65"/>
        <v>0</v>
      </c>
      <c r="M222" s="780">
        <v>0</v>
      </c>
      <c r="N222" s="780">
        <v>0</v>
      </c>
    </row>
    <row r="223" spans="1:14" s="812" customFormat="1" ht="15.95" hidden="1" customHeight="1">
      <c r="A223" s="1286"/>
      <c r="B223" s="1292"/>
      <c r="C223" s="1260"/>
      <c r="D223" s="1292"/>
      <c r="E223" s="840"/>
      <c r="F223" s="1340"/>
      <c r="G223" s="814" t="s">
        <v>22</v>
      </c>
      <c r="H223" s="779">
        <f t="shared" si="63"/>
        <v>0</v>
      </c>
      <c r="I223" s="780">
        <f t="shared" si="64"/>
        <v>0</v>
      </c>
      <c r="J223" s="780">
        <v>0</v>
      </c>
      <c r="K223" s="780">
        <v>0</v>
      </c>
      <c r="L223" s="780">
        <f t="shared" si="65"/>
        <v>0</v>
      </c>
      <c r="M223" s="780">
        <v>0</v>
      </c>
      <c r="N223" s="780">
        <v>0</v>
      </c>
    </row>
    <row r="224" spans="1:14" s="721" customFormat="1" ht="15.95" hidden="1" customHeight="1">
      <c r="A224" s="1282"/>
      <c r="B224" s="1283"/>
      <c r="C224" s="1284"/>
      <c r="D224" s="1285"/>
      <c r="E224" s="840"/>
      <c r="F224" s="1341"/>
      <c r="G224" s="811" t="s">
        <v>23</v>
      </c>
      <c r="H224" s="808">
        <f>I224+L224</f>
        <v>12000000</v>
      </c>
      <c r="I224" s="809">
        <f>J224+K224</f>
        <v>12000000</v>
      </c>
      <c r="J224" s="809">
        <f>J222+J223</f>
        <v>12000000</v>
      </c>
      <c r="K224" s="809">
        <f>K222+K223</f>
        <v>0</v>
      </c>
      <c r="L224" s="809">
        <f>M224+N224</f>
        <v>0</v>
      </c>
      <c r="M224" s="809">
        <f>M222+M223</f>
        <v>0</v>
      </c>
      <c r="N224" s="809">
        <f>N222+N223</f>
        <v>0</v>
      </c>
    </row>
    <row r="225" spans="1:14" s="812" customFormat="1" ht="15.95" hidden="1" customHeight="1">
      <c r="A225" s="1286"/>
      <c r="B225" s="1287"/>
      <c r="C225" s="1260"/>
      <c r="D225" s="1261"/>
      <c r="E225" s="840"/>
      <c r="F225" s="1339" t="s">
        <v>749</v>
      </c>
      <c r="G225" s="814" t="s">
        <v>21</v>
      </c>
      <c r="H225" s="779">
        <f t="shared" si="63"/>
        <v>5000000</v>
      </c>
      <c r="I225" s="780">
        <f t="shared" si="64"/>
        <v>5000000</v>
      </c>
      <c r="J225" s="780">
        <v>5000000</v>
      </c>
      <c r="K225" s="780">
        <v>0</v>
      </c>
      <c r="L225" s="780">
        <f t="shared" si="65"/>
        <v>0</v>
      </c>
      <c r="M225" s="780">
        <v>0</v>
      </c>
      <c r="N225" s="780">
        <v>0</v>
      </c>
    </row>
    <row r="226" spans="1:14" s="812" customFormat="1" ht="15.95" hidden="1" customHeight="1">
      <c r="A226" s="1286"/>
      <c r="B226" s="1292"/>
      <c r="C226" s="1260"/>
      <c r="D226" s="1292"/>
      <c r="E226" s="840"/>
      <c r="F226" s="1340"/>
      <c r="G226" s="814" t="s">
        <v>22</v>
      </c>
      <c r="H226" s="779">
        <f t="shared" si="63"/>
        <v>0</v>
      </c>
      <c r="I226" s="780">
        <f t="shared" si="64"/>
        <v>0</v>
      </c>
      <c r="J226" s="780">
        <v>0</v>
      </c>
      <c r="K226" s="780">
        <v>0</v>
      </c>
      <c r="L226" s="780">
        <f t="shared" si="65"/>
        <v>0</v>
      </c>
      <c r="M226" s="780">
        <v>0</v>
      </c>
      <c r="N226" s="780">
        <v>0</v>
      </c>
    </row>
    <row r="227" spans="1:14" s="721" customFormat="1" ht="15.95" hidden="1" customHeight="1">
      <c r="A227" s="1282"/>
      <c r="B227" s="1283"/>
      <c r="C227" s="1284"/>
      <c r="D227" s="1285"/>
      <c r="E227" s="840"/>
      <c r="F227" s="1341"/>
      <c r="G227" s="811" t="s">
        <v>23</v>
      </c>
      <c r="H227" s="808">
        <f>I227+L227</f>
        <v>5000000</v>
      </c>
      <c r="I227" s="809">
        <f>J227+K227</f>
        <v>5000000</v>
      </c>
      <c r="J227" s="809">
        <f>J225+J226</f>
        <v>5000000</v>
      </c>
      <c r="K227" s="809">
        <f>K225+K226</f>
        <v>0</v>
      </c>
      <c r="L227" s="809">
        <f>M227+N227</f>
        <v>0</v>
      </c>
      <c r="M227" s="809">
        <f>M225+M226</f>
        <v>0</v>
      </c>
      <c r="N227" s="809">
        <f>N225+N226</f>
        <v>0</v>
      </c>
    </row>
    <row r="228" spans="1:14" s="721" customFormat="1" ht="15" hidden="1" customHeight="1">
      <c r="A228" s="1282"/>
      <c r="B228" s="1283"/>
      <c r="C228" s="1284"/>
      <c r="D228" s="1285"/>
      <c r="E228" s="845" t="s">
        <v>652</v>
      </c>
      <c r="F228" s="1339" t="s">
        <v>752</v>
      </c>
      <c r="G228" s="814" t="s">
        <v>21</v>
      </c>
      <c r="H228" s="779">
        <f t="shared" si="63"/>
        <v>6538083</v>
      </c>
      <c r="I228" s="780">
        <f t="shared" si="64"/>
        <v>6431563</v>
      </c>
      <c r="J228" s="780">
        <v>6431563</v>
      </c>
      <c r="K228" s="780">
        <v>0</v>
      </c>
      <c r="L228" s="780">
        <f t="shared" si="65"/>
        <v>106520</v>
      </c>
      <c r="M228" s="780">
        <v>106520</v>
      </c>
      <c r="N228" s="780">
        <v>0</v>
      </c>
    </row>
    <row r="229" spans="1:14" s="721" customFormat="1" ht="15" hidden="1" customHeight="1">
      <c r="A229" s="1282"/>
      <c r="B229" s="1292"/>
      <c r="C229" s="1284"/>
      <c r="D229" s="1292"/>
      <c r="E229" s="847"/>
      <c r="F229" s="1340"/>
      <c r="G229" s="814" t="s">
        <v>22</v>
      </c>
      <c r="H229" s="779">
        <f t="shared" si="63"/>
        <v>0</v>
      </c>
      <c r="I229" s="780">
        <f t="shared" si="64"/>
        <v>0</v>
      </c>
      <c r="J229" s="780">
        <v>0</v>
      </c>
      <c r="K229" s="780">
        <v>0</v>
      </c>
      <c r="L229" s="780">
        <f t="shared" si="65"/>
        <v>0</v>
      </c>
      <c r="M229" s="780">
        <v>0</v>
      </c>
      <c r="N229" s="780">
        <v>0</v>
      </c>
    </row>
    <row r="230" spans="1:14" s="721" customFormat="1" ht="15" hidden="1" customHeight="1">
      <c r="A230" s="1301"/>
      <c r="B230" s="1302"/>
      <c r="C230" s="1303"/>
      <c r="D230" s="1304"/>
      <c r="E230" s="841"/>
      <c r="F230" s="1341"/>
      <c r="G230" s="818" t="s">
        <v>23</v>
      </c>
      <c r="H230" s="779">
        <f>I230+L230</f>
        <v>6538083</v>
      </c>
      <c r="I230" s="780">
        <f>J230+K230</f>
        <v>6431563</v>
      </c>
      <c r="J230" s="780">
        <f>J228+J229</f>
        <v>6431563</v>
      </c>
      <c r="K230" s="780">
        <f>K228+K229</f>
        <v>0</v>
      </c>
      <c r="L230" s="780">
        <f>M230+N230</f>
        <v>106520</v>
      </c>
      <c r="M230" s="780">
        <f>M228+M229</f>
        <v>106520</v>
      </c>
      <c r="N230" s="780">
        <f>N228+N229</f>
        <v>0</v>
      </c>
    </row>
    <row r="231" spans="1:14" s="812" customFormat="1" ht="15" hidden="1" customHeight="1">
      <c r="A231" s="1337" t="s">
        <v>101</v>
      </c>
      <c r="B231" s="1338"/>
      <c r="C231" s="1252" t="s">
        <v>109</v>
      </c>
      <c r="D231" s="1253"/>
      <c r="E231" s="839" t="s">
        <v>730</v>
      </c>
      <c r="F231" s="1339" t="s">
        <v>732</v>
      </c>
      <c r="G231" s="814" t="s">
        <v>21</v>
      </c>
      <c r="H231" s="779">
        <f t="shared" si="63"/>
        <v>82500</v>
      </c>
      <c r="I231" s="780">
        <f t="shared" si="64"/>
        <v>82500</v>
      </c>
      <c r="J231" s="780">
        <v>0</v>
      </c>
      <c r="K231" s="780">
        <v>82500</v>
      </c>
      <c r="L231" s="780">
        <f t="shared" si="65"/>
        <v>0</v>
      </c>
      <c r="M231" s="780">
        <v>0</v>
      </c>
      <c r="N231" s="780">
        <v>0</v>
      </c>
    </row>
    <row r="232" spans="1:14" s="812" customFormat="1" ht="15" hidden="1" customHeight="1">
      <c r="A232" s="1286"/>
      <c r="B232" s="1292"/>
      <c r="C232" s="1260"/>
      <c r="D232" s="1292"/>
      <c r="E232" s="840"/>
      <c r="F232" s="1340"/>
      <c r="G232" s="814" t="s">
        <v>22</v>
      </c>
      <c r="H232" s="779">
        <f t="shared" si="63"/>
        <v>0</v>
      </c>
      <c r="I232" s="780">
        <f t="shared" si="64"/>
        <v>0</v>
      </c>
      <c r="J232" s="780">
        <v>0</v>
      </c>
      <c r="K232" s="780">
        <v>0</v>
      </c>
      <c r="L232" s="780">
        <f t="shared" si="65"/>
        <v>0</v>
      </c>
      <c r="M232" s="780">
        <v>0</v>
      </c>
      <c r="N232" s="780">
        <v>0</v>
      </c>
    </row>
    <row r="233" spans="1:14" s="721" customFormat="1" ht="15" hidden="1" customHeight="1">
      <c r="A233" s="1282"/>
      <c r="B233" s="1283"/>
      <c r="C233" s="1284"/>
      <c r="D233" s="1285"/>
      <c r="E233" s="840"/>
      <c r="F233" s="1341"/>
      <c r="G233" s="811" t="s">
        <v>23</v>
      </c>
      <c r="H233" s="808">
        <f>I233+L233</f>
        <v>82500</v>
      </c>
      <c r="I233" s="809">
        <f>J233+K233</f>
        <v>82500</v>
      </c>
      <c r="J233" s="809">
        <f>J231+J232</f>
        <v>0</v>
      </c>
      <c r="K233" s="809">
        <f>K231+K232</f>
        <v>82500</v>
      </c>
      <c r="L233" s="809">
        <f>M233+N233</f>
        <v>0</v>
      </c>
      <c r="M233" s="809">
        <f>M231+M232</f>
        <v>0</v>
      </c>
      <c r="N233" s="809">
        <f>N231+N232</f>
        <v>0</v>
      </c>
    </row>
    <row r="234" spans="1:14" s="721" customFormat="1" ht="15.95" hidden="1" customHeight="1">
      <c r="A234" s="1282"/>
      <c r="B234" s="1283"/>
      <c r="C234" s="1284"/>
      <c r="D234" s="1285"/>
      <c r="E234" s="847"/>
      <c r="F234" s="1339" t="s">
        <v>736</v>
      </c>
      <c r="G234" s="814" t="s">
        <v>21</v>
      </c>
      <c r="H234" s="779">
        <f t="shared" ref="H234:H312" si="66">I234+L234</f>
        <v>12656</v>
      </c>
      <c r="I234" s="780">
        <f t="shared" ref="I234:I312" si="67">J234+K234</f>
        <v>12656</v>
      </c>
      <c r="J234" s="780">
        <v>0</v>
      </c>
      <c r="K234" s="780">
        <v>12656</v>
      </c>
      <c r="L234" s="780">
        <f t="shared" ref="L234:L312" si="68">M234+N234</f>
        <v>0</v>
      </c>
      <c r="M234" s="780">
        <v>0</v>
      </c>
      <c r="N234" s="780">
        <v>0</v>
      </c>
    </row>
    <row r="235" spans="1:14" s="721" customFormat="1" ht="15.95" hidden="1" customHeight="1">
      <c r="A235" s="1282"/>
      <c r="B235" s="1292"/>
      <c r="C235" s="1284"/>
      <c r="D235" s="1292"/>
      <c r="E235" s="847"/>
      <c r="F235" s="1340"/>
      <c r="G235" s="814" t="s">
        <v>22</v>
      </c>
      <c r="H235" s="779">
        <f t="shared" si="66"/>
        <v>0</v>
      </c>
      <c r="I235" s="780">
        <f t="shared" si="67"/>
        <v>0</v>
      </c>
      <c r="J235" s="780">
        <v>0</v>
      </c>
      <c r="K235" s="780">
        <v>0</v>
      </c>
      <c r="L235" s="780">
        <f t="shared" si="68"/>
        <v>0</v>
      </c>
      <c r="M235" s="780">
        <v>0</v>
      </c>
      <c r="N235" s="780">
        <v>0</v>
      </c>
    </row>
    <row r="236" spans="1:14" s="721" customFormat="1" ht="15.95" hidden="1" customHeight="1">
      <c r="A236" s="1282"/>
      <c r="B236" s="1283"/>
      <c r="C236" s="1284"/>
      <c r="D236" s="1285"/>
      <c r="E236" s="840"/>
      <c r="F236" s="1341"/>
      <c r="G236" s="818" t="s">
        <v>23</v>
      </c>
      <c r="H236" s="779">
        <f t="shared" si="66"/>
        <v>12656</v>
      </c>
      <c r="I236" s="780">
        <f t="shared" si="67"/>
        <v>12656</v>
      </c>
      <c r="J236" s="780">
        <f>J234+J235</f>
        <v>0</v>
      </c>
      <c r="K236" s="780">
        <f>K234+K235</f>
        <v>12656</v>
      </c>
      <c r="L236" s="780">
        <f t="shared" si="68"/>
        <v>0</v>
      </c>
      <c r="M236" s="780">
        <f>M234+M235</f>
        <v>0</v>
      </c>
      <c r="N236" s="780">
        <f>N234+N235</f>
        <v>0</v>
      </c>
    </row>
    <row r="237" spans="1:14" s="812" customFormat="1" ht="15.95" hidden="1" customHeight="1">
      <c r="A237" s="1286"/>
      <c r="B237" s="1287"/>
      <c r="C237" s="1260"/>
      <c r="D237" s="1261"/>
      <c r="E237" s="840"/>
      <c r="F237" s="1340" t="s">
        <v>739</v>
      </c>
      <c r="G237" s="819" t="s">
        <v>21</v>
      </c>
      <c r="H237" s="820">
        <f t="shared" si="66"/>
        <v>881717</v>
      </c>
      <c r="I237" s="821">
        <f t="shared" si="67"/>
        <v>0</v>
      </c>
      <c r="J237" s="821">
        <v>0</v>
      </c>
      <c r="K237" s="821">
        <v>0</v>
      </c>
      <c r="L237" s="821">
        <f t="shared" si="68"/>
        <v>881717</v>
      </c>
      <c r="M237" s="821">
        <v>0</v>
      </c>
      <c r="N237" s="821">
        <v>881717</v>
      </c>
    </row>
    <row r="238" spans="1:14" s="812" customFormat="1" ht="15.95" hidden="1" customHeight="1">
      <c r="A238" s="1286"/>
      <c r="B238" s="1292"/>
      <c r="C238" s="1260"/>
      <c r="D238" s="1292"/>
      <c r="E238" s="840"/>
      <c r="F238" s="1340"/>
      <c r="G238" s="814" t="s">
        <v>22</v>
      </c>
      <c r="H238" s="779">
        <f t="shared" si="66"/>
        <v>0</v>
      </c>
      <c r="I238" s="780">
        <f t="shared" si="67"/>
        <v>0</v>
      </c>
      <c r="J238" s="780">
        <v>0</v>
      </c>
      <c r="K238" s="780">
        <v>0</v>
      </c>
      <c r="L238" s="780">
        <f t="shared" si="68"/>
        <v>0</v>
      </c>
      <c r="M238" s="780">
        <v>0</v>
      </c>
      <c r="N238" s="780">
        <v>0</v>
      </c>
    </row>
    <row r="239" spans="1:14" s="721" customFormat="1" ht="15.95" hidden="1" customHeight="1">
      <c r="A239" s="1282"/>
      <c r="B239" s="1283"/>
      <c r="C239" s="1284"/>
      <c r="D239" s="1285"/>
      <c r="E239" s="840"/>
      <c r="F239" s="1341"/>
      <c r="G239" s="811" t="s">
        <v>23</v>
      </c>
      <c r="H239" s="808">
        <f t="shared" si="66"/>
        <v>881717</v>
      </c>
      <c r="I239" s="809">
        <f t="shared" si="67"/>
        <v>0</v>
      </c>
      <c r="J239" s="809">
        <f>J237+J238</f>
        <v>0</v>
      </c>
      <c r="K239" s="809">
        <f>K237+K238</f>
        <v>0</v>
      </c>
      <c r="L239" s="809">
        <f t="shared" si="68"/>
        <v>881717</v>
      </c>
      <c r="M239" s="809">
        <f>M237+M238</f>
        <v>0</v>
      </c>
      <c r="N239" s="809">
        <f>N237+N238</f>
        <v>881717</v>
      </c>
    </row>
    <row r="240" spans="1:14" s="721" customFormat="1" ht="14.45" hidden="1" customHeight="1">
      <c r="A240" s="1278" t="s">
        <v>131</v>
      </c>
      <c r="B240" s="1279"/>
      <c r="C240" s="1280" t="s">
        <v>1091</v>
      </c>
      <c r="D240" s="1281"/>
      <c r="E240" s="845" t="s">
        <v>825</v>
      </c>
      <c r="F240" s="1339" t="s">
        <v>924</v>
      </c>
      <c r="G240" s="814" t="s">
        <v>21</v>
      </c>
      <c r="H240" s="808">
        <f>I240+L240</f>
        <v>177985</v>
      </c>
      <c r="I240" s="809">
        <f>J240+K240</f>
        <v>177985</v>
      </c>
      <c r="J240" s="809">
        <v>177985</v>
      </c>
      <c r="K240" s="809">
        <v>0</v>
      </c>
      <c r="L240" s="809">
        <f>M240+N240</f>
        <v>0</v>
      </c>
      <c r="M240" s="809">
        <v>0</v>
      </c>
      <c r="N240" s="809">
        <v>0</v>
      </c>
    </row>
    <row r="241" spans="1:14" s="721" customFormat="1" ht="14.45" hidden="1" customHeight="1">
      <c r="A241" s="1282"/>
      <c r="B241" s="1292"/>
      <c r="C241" s="1284"/>
      <c r="D241" s="1292"/>
      <c r="E241" s="847"/>
      <c r="F241" s="1340"/>
      <c r="G241" s="814" t="s">
        <v>22</v>
      </c>
      <c r="H241" s="808">
        <f>I241+L241</f>
        <v>0</v>
      </c>
      <c r="I241" s="809">
        <f>J241+K241</f>
        <v>0</v>
      </c>
      <c r="J241" s="809">
        <v>0</v>
      </c>
      <c r="K241" s="809">
        <v>0</v>
      </c>
      <c r="L241" s="809">
        <f>M241+N241</f>
        <v>0</v>
      </c>
      <c r="M241" s="809">
        <v>0</v>
      </c>
      <c r="N241" s="809">
        <v>0</v>
      </c>
    </row>
    <row r="242" spans="1:14" s="721" customFormat="1" ht="14.45" hidden="1" customHeight="1">
      <c r="A242" s="1282"/>
      <c r="B242" s="1283"/>
      <c r="C242" s="1303"/>
      <c r="D242" s="1304"/>
      <c r="E242" s="841"/>
      <c r="F242" s="1341"/>
      <c r="G242" s="818" t="s">
        <v>23</v>
      </c>
      <c r="H242" s="779">
        <f>I242+L242</f>
        <v>177985</v>
      </c>
      <c r="I242" s="780">
        <f>J242+K242</f>
        <v>177985</v>
      </c>
      <c r="J242" s="780">
        <f>J240+J241</f>
        <v>177985</v>
      </c>
      <c r="K242" s="780">
        <f>K240+K241</f>
        <v>0</v>
      </c>
      <c r="L242" s="780">
        <f>M242+N242</f>
        <v>0</v>
      </c>
      <c r="M242" s="780">
        <f>M240+M241</f>
        <v>0</v>
      </c>
      <c r="N242" s="780">
        <f>N240+N241</f>
        <v>0</v>
      </c>
    </row>
    <row r="243" spans="1:14" s="812" customFormat="1" ht="14.85" customHeight="1">
      <c r="A243" s="1337" t="s">
        <v>131</v>
      </c>
      <c r="B243" s="1338"/>
      <c r="C243" s="1252" t="s">
        <v>157</v>
      </c>
      <c r="D243" s="1253"/>
      <c r="E243" s="839" t="s">
        <v>906</v>
      </c>
      <c r="F243" s="1339" t="s">
        <v>908</v>
      </c>
      <c r="G243" s="814" t="s">
        <v>21</v>
      </c>
      <c r="H243" s="808">
        <f t="shared" si="66"/>
        <v>862734</v>
      </c>
      <c r="I243" s="809">
        <f t="shared" si="67"/>
        <v>862734</v>
      </c>
      <c r="J243" s="809">
        <v>862734</v>
      </c>
      <c r="K243" s="809">
        <v>0</v>
      </c>
      <c r="L243" s="809">
        <f t="shared" si="68"/>
        <v>0</v>
      </c>
      <c r="M243" s="809">
        <v>0</v>
      </c>
      <c r="N243" s="809">
        <v>0</v>
      </c>
    </row>
    <row r="244" spans="1:14" s="812" customFormat="1" ht="14.85" customHeight="1">
      <c r="A244" s="1286"/>
      <c r="B244" s="1292"/>
      <c r="C244" s="1260"/>
      <c r="D244" s="1292"/>
      <c r="E244" s="840"/>
      <c r="F244" s="1340"/>
      <c r="G244" s="814" t="s">
        <v>22</v>
      </c>
      <c r="H244" s="808">
        <f t="shared" si="66"/>
        <v>-488957</v>
      </c>
      <c r="I244" s="809">
        <f t="shared" si="67"/>
        <v>-488957</v>
      </c>
      <c r="J244" s="809">
        <v>-488957</v>
      </c>
      <c r="K244" s="809">
        <v>0</v>
      </c>
      <c r="L244" s="809">
        <f t="shared" si="68"/>
        <v>0</v>
      </c>
      <c r="M244" s="809">
        <v>0</v>
      </c>
      <c r="N244" s="809">
        <v>0</v>
      </c>
    </row>
    <row r="245" spans="1:14" s="721" customFormat="1" ht="14.85" customHeight="1">
      <c r="A245" s="1282"/>
      <c r="B245" s="1283"/>
      <c r="C245" s="1284"/>
      <c r="D245" s="1285"/>
      <c r="E245" s="840"/>
      <c r="F245" s="1340"/>
      <c r="G245" s="811" t="s">
        <v>23</v>
      </c>
      <c r="H245" s="808">
        <f t="shared" si="66"/>
        <v>373777</v>
      </c>
      <c r="I245" s="809">
        <f t="shared" si="67"/>
        <v>373777</v>
      </c>
      <c r="J245" s="809">
        <f>J243+J244</f>
        <v>373777</v>
      </c>
      <c r="K245" s="809">
        <f>K243+K244</f>
        <v>0</v>
      </c>
      <c r="L245" s="809">
        <f t="shared" si="68"/>
        <v>0</v>
      </c>
      <c r="M245" s="809">
        <f>M243+M244</f>
        <v>0</v>
      </c>
      <c r="N245" s="809">
        <f>N243+N244</f>
        <v>0</v>
      </c>
    </row>
    <row r="246" spans="1:14" s="721" customFormat="1" ht="14.85" customHeight="1">
      <c r="A246" s="1282"/>
      <c r="B246" s="1283"/>
      <c r="C246" s="1284"/>
      <c r="D246" s="1285"/>
      <c r="E246" s="845" t="s">
        <v>958</v>
      </c>
      <c r="F246" s="1339" t="s">
        <v>959</v>
      </c>
      <c r="G246" s="814" t="s">
        <v>21</v>
      </c>
      <c r="H246" s="808">
        <f t="shared" si="66"/>
        <v>225500</v>
      </c>
      <c r="I246" s="809">
        <f t="shared" si="67"/>
        <v>189500</v>
      </c>
      <c r="J246" s="809">
        <v>0</v>
      </c>
      <c r="K246" s="809">
        <v>189500</v>
      </c>
      <c r="L246" s="809">
        <f t="shared" si="68"/>
        <v>36000</v>
      </c>
      <c r="M246" s="809">
        <v>0</v>
      </c>
      <c r="N246" s="809">
        <v>36000</v>
      </c>
    </row>
    <row r="247" spans="1:14" s="721" customFormat="1" ht="14.85" customHeight="1">
      <c r="A247" s="1282"/>
      <c r="B247" s="1292"/>
      <c r="C247" s="1284"/>
      <c r="D247" s="1292"/>
      <c r="E247" s="847"/>
      <c r="F247" s="1340"/>
      <c r="G247" s="814" t="s">
        <v>22</v>
      </c>
      <c r="H247" s="808">
        <f t="shared" si="66"/>
        <v>-61406</v>
      </c>
      <c r="I247" s="809">
        <f t="shared" si="67"/>
        <v>-41908</v>
      </c>
      <c r="J247" s="809">
        <v>0</v>
      </c>
      <c r="K247" s="809">
        <f>-37615-4293</f>
        <v>-41908</v>
      </c>
      <c r="L247" s="809">
        <f t="shared" si="68"/>
        <v>-19498</v>
      </c>
      <c r="M247" s="809">
        <v>0</v>
      </c>
      <c r="N247" s="809">
        <v>-19498</v>
      </c>
    </row>
    <row r="248" spans="1:14" s="721" customFormat="1" ht="14.85" customHeight="1">
      <c r="A248" s="1282"/>
      <c r="B248" s="1283"/>
      <c r="C248" s="1284"/>
      <c r="D248" s="1285"/>
      <c r="E248" s="840"/>
      <c r="F248" s="1341"/>
      <c r="G248" s="811" t="s">
        <v>23</v>
      </c>
      <c r="H248" s="808">
        <f t="shared" si="66"/>
        <v>164094</v>
      </c>
      <c r="I248" s="809">
        <f t="shared" si="67"/>
        <v>147592</v>
      </c>
      <c r="J248" s="809">
        <f>J246+J247</f>
        <v>0</v>
      </c>
      <c r="K248" s="809">
        <f>K246+K247</f>
        <v>147592</v>
      </c>
      <c r="L248" s="809">
        <f t="shared" si="68"/>
        <v>16502</v>
      </c>
      <c r="M248" s="809">
        <f>M246+M247</f>
        <v>0</v>
      </c>
      <c r="N248" s="809">
        <f>N246+N247</f>
        <v>16502</v>
      </c>
    </row>
    <row r="249" spans="1:14" s="721" customFormat="1" ht="14.85" customHeight="1">
      <c r="A249" s="1282"/>
      <c r="B249" s="1283"/>
      <c r="C249" s="1284"/>
      <c r="D249" s="1285"/>
      <c r="E249" s="845" t="s">
        <v>961</v>
      </c>
      <c r="F249" s="1339" t="s">
        <v>962</v>
      </c>
      <c r="G249" s="814" t="s">
        <v>21</v>
      </c>
      <c r="H249" s="808">
        <f t="shared" si="66"/>
        <v>150000</v>
      </c>
      <c r="I249" s="809">
        <f t="shared" si="67"/>
        <v>150000</v>
      </c>
      <c r="J249" s="809">
        <v>0</v>
      </c>
      <c r="K249" s="809">
        <v>150000</v>
      </c>
      <c r="L249" s="809">
        <f t="shared" si="68"/>
        <v>0</v>
      </c>
      <c r="M249" s="809">
        <v>0</v>
      </c>
      <c r="N249" s="809">
        <v>0</v>
      </c>
    </row>
    <row r="250" spans="1:14" s="721" customFormat="1" ht="14.85" customHeight="1">
      <c r="A250" s="1282"/>
      <c r="B250" s="1292"/>
      <c r="C250" s="1284"/>
      <c r="D250" s="1292"/>
      <c r="E250" s="847"/>
      <c r="F250" s="1340"/>
      <c r="G250" s="814" t="s">
        <v>22</v>
      </c>
      <c r="H250" s="808">
        <f t="shared" si="66"/>
        <v>-148107</v>
      </c>
      <c r="I250" s="809">
        <f t="shared" si="67"/>
        <v>-148107</v>
      </c>
      <c r="J250" s="809">
        <v>0</v>
      </c>
      <c r="K250" s="809">
        <f>-78107-70000</f>
        <v>-148107</v>
      </c>
      <c r="L250" s="809">
        <f t="shared" si="68"/>
        <v>0</v>
      </c>
      <c r="M250" s="809">
        <v>0</v>
      </c>
      <c r="N250" s="809">
        <v>0</v>
      </c>
    </row>
    <row r="251" spans="1:14" s="721" customFormat="1" ht="14.85" customHeight="1">
      <c r="A251" s="1282"/>
      <c r="B251" s="1283"/>
      <c r="C251" s="1284"/>
      <c r="D251" s="1285"/>
      <c r="E251" s="840"/>
      <c r="F251" s="1341"/>
      <c r="G251" s="811" t="s">
        <v>23</v>
      </c>
      <c r="H251" s="808">
        <f t="shared" si="66"/>
        <v>1893</v>
      </c>
      <c r="I251" s="809">
        <f t="shared" si="67"/>
        <v>1893</v>
      </c>
      <c r="J251" s="809">
        <f>J249+J250</f>
        <v>0</v>
      </c>
      <c r="K251" s="809">
        <f>K249+K250</f>
        <v>1893</v>
      </c>
      <c r="L251" s="809">
        <f t="shared" si="68"/>
        <v>0</v>
      </c>
      <c r="M251" s="809">
        <f>M249+M250</f>
        <v>0</v>
      </c>
      <c r="N251" s="809">
        <f>N249+N250</f>
        <v>0</v>
      </c>
    </row>
    <row r="252" spans="1:14" s="721" customFormat="1" ht="15.95" hidden="1" customHeight="1">
      <c r="A252" s="1282"/>
      <c r="B252" s="1283"/>
      <c r="C252" s="1284"/>
      <c r="D252" s="1285"/>
      <c r="E252" s="845" t="s">
        <v>878</v>
      </c>
      <c r="F252" s="1339" t="s">
        <v>879</v>
      </c>
      <c r="G252" s="814" t="s">
        <v>21</v>
      </c>
      <c r="H252" s="808">
        <f t="shared" si="66"/>
        <v>109999</v>
      </c>
      <c r="I252" s="809">
        <f t="shared" si="67"/>
        <v>109999</v>
      </c>
      <c r="J252" s="809">
        <v>0</v>
      </c>
      <c r="K252" s="809">
        <v>109999</v>
      </c>
      <c r="L252" s="809">
        <f t="shared" si="68"/>
        <v>0</v>
      </c>
      <c r="M252" s="809">
        <v>0</v>
      </c>
      <c r="N252" s="809">
        <v>0</v>
      </c>
    </row>
    <row r="253" spans="1:14" s="721" customFormat="1" ht="15.95" hidden="1" customHeight="1">
      <c r="A253" s="1282"/>
      <c r="B253" s="1292"/>
      <c r="C253" s="1284"/>
      <c r="D253" s="1292"/>
      <c r="E253" s="847"/>
      <c r="F253" s="1340"/>
      <c r="G253" s="814" t="s">
        <v>22</v>
      </c>
      <c r="H253" s="808">
        <f t="shared" si="66"/>
        <v>0</v>
      </c>
      <c r="I253" s="809">
        <f t="shared" si="67"/>
        <v>0</v>
      </c>
      <c r="J253" s="809">
        <v>0</v>
      </c>
      <c r="K253" s="809">
        <v>0</v>
      </c>
      <c r="L253" s="809">
        <f t="shared" si="68"/>
        <v>0</v>
      </c>
      <c r="M253" s="809">
        <v>0</v>
      </c>
      <c r="N253" s="809">
        <v>0</v>
      </c>
    </row>
    <row r="254" spans="1:14" s="721" customFormat="1" ht="15.95" hidden="1" customHeight="1">
      <c r="A254" s="1282"/>
      <c r="B254" s="1283"/>
      <c r="C254" s="1284"/>
      <c r="D254" s="1285"/>
      <c r="E254" s="840"/>
      <c r="F254" s="1341"/>
      <c r="G254" s="811" t="s">
        <v>23</v>
      </c>
      <c r="H254" s="808">
        <f t="shared" si="66"/>
        <v>109999</v>
      </c>
      <c r="I254" s="809">
        <f t="shared" si="67"/>
        <v>109999</v>
      </c>
      <c r="J254" s="809">
        <f>J252+J253</f>
        <v>0</v>
      </c>
      <c r="K254" s="809">
        <f>K252+K253</f>
        <v>109999</v>
      </c>
      <c r="L254" s="809">
        <f t="shared" si="68"/>
        <v>0</v>
      </c>
      <c r="M254" s="809">
        <f>M252+M253</f>
        <v>0</v>
      </c>
      <c r="N254" s="809">
        <f>N252+N253</f>
        <v>0</v>
      </c>
    </row>
    <row r="255" spans="1:14" s="721" customFormat="1" ht="15.95" hidden="1" customHeight="1">
      <c r="A255" s="1282"/>
      <c r="B255" s="1283"/>
      <c r="C255" s="1284"/>
      <c r="D255" s="1285"/>
      <c r="E255" s="847"/>
      <c r="F255" s="1339" t="s">
        <v>881</v>
      </c>
      <c r="G255" s="814" t="s">
        <v>21</v>
      </c>
      <c r="H255" s="808">
        <f t="shared" si="66"/>
        <v>1100866</v>
      </c>
      <c r="I255" s="809">
        <f t="shared" si="67"/>
        <v>1100866</v>
      </c>
      <c r="J255" s="809">
        <v>0</v>
      </c>
      <c r="K255" s="809">
        <v>1100866</v>
      </c>
      <c r="L255" s="809">
        <f t="shared" si="68"/>
        <v>0</v>
      </c>
      <c r="M255" s="809">
        <v>0</v>
      </c>
      <c r="N255" s="809">
        <v>0</v>
      </c>
    </row>
    <row r="256" spans="1:14" s="721" customFormat="1" ht="15.95" hidden="1" customHeight="1">
      <c r="A256" s="1282"/>
      <c r="B256" s="1292"/>
      <c r="C256" s="1284"/>
      <c r="D256" s="1292"/>
      <c r="E256" s="847"/>
      <c r="F256" s="1340"/>
      <c r="G256" s="814" t="s">
        <v>22</v>
      </c>
      <c r="H256" s="808">
        <f t="shared" si="66"/>
        <v>0</v>
      </c>
      <c r="I256" s="809">
        <f t="shared" si="67"/>
        <v>0</v>
      </c>
      <c r="J256" s="809">
        <v>0</v>
      </c>
      <c r="K256" s="809">
        <v>0</v>
      </c>
      <c r="L256" s="809">
        <f t="shared" si="68"/>
        <v>0</v>
      </c>
      <c r="M256" s="809">
        <v>0</v>
      </c>
      <c r="N256" s="809">
        <v>0</v>
      </c>
    </row>
    <row r="257" spans="1:14" s="721" customFormat="1" ht="15.95" hidden="1" customHeight="1">
      <c r="A257" s="1282"/>
      <c r="B257" s="1283"/>
      <c r="C257" s="1284"/>
      <c r="D257" s="1285"/>
      <c r="E257" s="840"/>
      <c r="F257" s="1341"/>
      <c r="G257" s="811" t="s">
        <v>23</v>
      </c>
      <c r="H257" s="808">
        <f t="shared" si="66"/>
        <v>1100866</v>
      </c>
      <c r="I257" s="809">
        <f t="shared" si="67"/>
        <v>1100866</v>
      </c>
      <c r="J257" s="809">
        <f>J255+J256</f>
        <v>0</v>
      </c>
      <c r="K257" s="809">
        <f>K255+K256</f>
        <v>1100866</v>
      </c>
      <c r="L257" s="809">
        <f t="shared" si="68"/>
        <v>0</v>
      </c>
      <c r="M257" s="809">
        <f>M255+M256</f>
        <v>0</v>
      </c>
      <c r="N257" s="809">
        <f>N255+N256</f>
        <v>0</v>
      </c>
    </row>
    <row r="258" spans="1:14" s="721" customFormat="1" ht="14.85" customHeight="1">
      <c r="A258" s="1282"/>
      <c r="B258" s="1283"/>
      <c r="C258" s="1284"/>
      <c r="D258" s="1285"/>
      <c r="E258" s="845" t="s">
        <v>878</v>
      </c>
      <c r="F258" s="1339" t="s">
        <v>963</v>
      </c>
      <c r="G258" s="814" t="s">
        <v>21</v>
      </c>
      <c r="H258" s="808">
        <f t="shared" si="66"/>
        <v>1158619</v>
      </c>
      <c r="I258" s="809">
        <f t="shared" si="67"/>
        <v>1030062</v>
      </c>
      <c r="J258" s="809">
        <v>5712</v>
      </c>
      <c r="K258" s="809">
        <v>1024350</v>
      </c>
      <c r="L258" s="809">
        <f t="shared" si="68"/>
        <v>128557</v>
      </c>
      <c r="M258" s="809">
        <v>1262</v>
      </c>
      <c r="N258" s="809">
        <v>127295</v>
      </c>
    </row>
    <row r="259" spans="1:14" s="721" customFormat="1" ht="14.85" customHeight="1">
      <c r="A259" s="1282"/>
      <c r="B259" s="1292"/>
      <c r="C259" s="1284"/>
      <c r="D259" s="1292"/>
      <c r="E259" s="847"/>
      <c r="F259" s="1340"/>
      <c r="G259" s="814" t="s">
        <v>22</v>
      </c>
      <c r="H259" s="808">
        <f t="shared" si="66"/>
        <v>31285</v>
      </c>
      <c r="I259" s="809">
        <f t="shared" si="67"/>
        <v>31285</v>
      </c>
      <c r="J259" s="809">
        <v>0</v>
      </c>
      <c r="K259" s="809">
        <v>31285</v>
      </c>
      <c r="L259" s="809">
        <f t="shared" si="68"/>
        <v>0</v>
      </c>
      <c r="M259" s="809">
        <v>0</v>
      </c>
      <c r="N259" s="809">
        <v>0</v>
      </c>
    </row>
    <row r="260" spans="1:14" s="721" customFormat="1" ht="14.85" customHeight="1">
      <c r="A260" s="1282"/>
      <c r="B260" s="1283"/>
      <c r="C260" s="1284"/>
      <c r="D260" s="1285"/>
      <c r="E260" s="840"/>
      <c r="F260" s="1341"/>
      <c r="G260" s="811" t="s">
        <v>23</v>
      </c>
      <c r="H260" s="808">
        <f t="shared" si="66"/>
        <v>1189904</v>
      </c>
      <c r="I260" s="809">
        <f t="shared" si="67"/>
        <v>1061347</v>
      </c>
      <c r="J260" s="809">
        <f>J258+J259</f>
        <v>5712</v>
      </c>
      <c r="K260" s="809">
        <f>K258+K259</f>
        <v>1055635</v>
      </c>
      <c r="L260" s="809">
        <f t="shared" si="68"/>
        <v>128557</v>
      </c>
      <c r="M260" s="809">
        <f>M258+M259</f>
        <v>1262</v>
      </c>
      <c r="N260" s="809">
        <f>N258+N259</f>
        <v>127295</v>
      </c>
    </row>
    <row r="261" spans="1:14" s="721" customFormat="1" ht="14.85" customHeight="1">
      <c r="A261" s="1282"/>
      <c r="B261" s="1283"/>
      <c r="C261" s="1284"/>
      <c r="D261" s="1285"/>
      <c r="E261" s="845" t="s">
        <v>964</v>
      </c>
      <c r="F261" s="1339" t="s">
        <v>965</v>
      </c>
      <c r="G261" s="814" t="s">
        <v>21</v>
      </c>
      <c r="H261" s="808">
        <f t="shared" si="66"/>
        <v>1147943</v>
      </c>
      <c r="I261" s="809">
        <f t="shared" si="67"/>
        <v>948247</v>
      </c>
      <c r="J261" s="809">
        <v>80247</v>
      </c>
      <c r="K261" s="809">
        <v>868000</v>
      </c>
      <c r="L261" s="809">
        <f t="shared" si="68"/>
        <v>199696</v>
      </c>
      <c r="M261" s="809">
        <v>38696</v>
      </c>
      <c r="N261" s="809">
        <v>161000</v>
      </c>
    </row>
    <row r="262" spans="1:14" s="721" customFormat="1" ht="14.85" customHeight="1">
      <c r="A262" s="1282"/>
      <c r="B262" s="1292"/>
      <c r="C262" s="1284"/>
      <c r="D262" s="1292"/>
      <c r="E262" s="847"/>
      <c r="F262" s="1340"/>
      <c r="G262" s="814" t="s">
        <v>22</v>
      </c>
      <c r="H262" s="808">
        <f t="shared" si="66"/>
        <v>28547</v>
      </c>
      <c r="I262" s="809">
        <f t="shared" si="67"/>
        <v>47900</v>
      </c>
      <c r="J262" s="809">
        <v>0</v>
      </c>
      <c r="K262" s="809">
        <v>47900</v>
      </c>
      <c r="L262" s="809">
        <f t="shared" si="68"/>
        <v>-19353</v>
      </c>
      <c r="M262" s="809">
        <v>0</v>
      </c>
      <c r="N262" s="809">
        <v>-19353</v>
      </c>
    </row>
    <row r="263" spans="1:14" s="721" customFormat="1" ht="14.85" customHeight="1">
      <c r="A263" s="1282"/>
      <c r="B263" s="1283"/>
      <c r="C263" s="1284"/>
      <c r="D263" s="1285"/>
      <c r="E263" s="840"/>
      <c r="F263" s="1341"/>
      <c r="G263" s="811" t="s">
        <v>23</v>
      </c>
      <c r="H263" s="808">
        <f t="shared" si="66"/>
        <v>1176490</v>
      </c>
      <c r="I263" s="809">
        <f t="shared" si="67"/>
        <v>996147</v>
      </c>
      <c r="J263" s="809">
        <f>J261+J262</f>
        <v>80247</v>
      </c>
      <c r="K263" s="809">
        <f>K261+K262</f>
        <v>915900</v>
      </c>
      <c r="L263" s="809">
        <f t="shared" si="68"/>
        <v>180343</v>
      </c>
      <c r="M263" s="809">
        <f>M261+M262</f>
        <v>38696</v>
      </c>
      <c r="N263" s="809">
        <f>N261+N262</f>
        <v>141647</v>
      </c>
    </row>
    <row r="264" spans="1:14" s="721" customFormat="1" ht="14.85" customHeight="1">
      <c r="A264" s="1278" t="s">
        <v>158</v>
      </c>
      <c r="B264" s="1279"/>
      <c r="C264" s="1280" t="s">
        <v>261</v>
      </c>
      <c r="D264" s="1281"/>
      <c r="E264" s="845" t="s">
        <v>821</v>
      </c>
      <c r="F264" s="1339" t="s">
        <v>915</v>
      </c>
      <c r="G264" s="814" t="s">
        <v>21</v>
      </c>
      <c r="H264" s="808">
        <f t="shared" si="66"/>
        <v>9633463</v>
      </c>
      <c r="I264" s="809">
        <f t="shared" si="67"/>
        <v>6804622</v>
      </c>
      <c r="J264" s="809">
        <v>6795145</v>
      </c>
      <c r="K264" s="809">
        <v>9477</v>
      </c>
      <c r="L264" s="809">
        <f t="shared" si="68"/>
        <v>2828841</v>
      </c>
      <c r="M264" s="809">
        <v>2816613</v>
      </c>
      <c r="N264" s="809">
        <v>12228</v>
      </c>
    </row>
    <row r="265" spans="1:14" s="721" customFormat="1" ht="14.85" customHeight="1">
      <c r="A265" s="1282"/>
      <c r="B265" s="1292"/>
      <c r="C265" s="1284"/>
      <c r="D265" s="1292"/>
      <c r="E265" s="847"/>
      <c r="F265" s="1340"/>
      <c r="G265" s="814" t="s">
        <v>22</v>
      </c>
      <c r="H265" s="808">
        <f t="shared" si="66"/>
        <v>-6195228</v>
      </c>
      <c r="I265" s="809">
        <f t="shared" si="67"/>
        <v>-6356551</v>
      </c>
      <c r="J265" s="809">
        <v>-6355166</v>
      </c>
      <c r="K265" s="809">
        <v>-1385</v>
      </c>
      <c r="L265" s="809">
        <f t="shared" si="68"/>
        <v>161323</v>
      </c>
      <c r="M265" s="809">
        <v>-576745</v>
      </c>
      <c r="N265" s="809">
        <v>738068</v>
      </c>
    </row>
    <row r="266" spans="1:14" s="721" customFormat="1" ht="14.85" customHeight="1">
      <c r="A266" s="1282"/>
      <c r="B266" s="1283"/>
      <c r="C266" s="1303"/>
      <c r="D266" s="1304"/>
      <c r="E266" s="841"/>
      <c r="F266" s="1341"/>
      <c r="G266" s="818" t="s">
        <v>23</v>
      </c>
      <c r="H266" s="779">
        <f>I266+L266</f>
        <v>3438235</v>
      </c>
      <c r="I266" s="780">
        <f>J266+K266</f>
        <v>448071</v>
      </c>
      <c r="J266" s="780">
        <f>J264+J265</f>
        <v>439979</v>
      </c>
      <c r="K266" s="780">
        <f>K264+K265</f>
        <v>8092</v>
      </c>
      <c r="L266" s="780">
        <f>M266+N266</f>
        <v>2990164</v>
      </c>
      <c r="M266" s="780">
        <f>M264+M265</f>
        <v>2239868</v>
      </c>
      <c r="N266" s="780">
        <f>N264+N265</f>
        <v>750296</v>
      </c>
    </row>
    <row r="267" spans="1:14" s="721" customFormat="1" ht="14.85" customHeight="1">
      <c r="A267" s="1282"/>
      <c r="B267" s="1283"/>
      <c r="C267" s="1284" t="s">
        <v>1092</v>
      </c>
      <c r="D267" s="1285"/>
      <c r="E267" s="847" t="s">
        <v>945</v>
      </c>
      <c r="F267" s="1340" t="s">
        <v>1093</v>
      </c>
      <c r="G267" s="819" t="s">
        <v>21</v>
      </c>
      <c r="H267" s="849">
        <f t="shared" si="66"/>
        <v>810000</v>
      </c>
      <c r="I267" s="850">
        <f t="shared" si="67"/>
        <v>425000</v>
      </c>
      <c r="J267" s="850">
        <v>0</v>
      </c>
      <c r="K267" s="850">
        <v>425000</v>
      </c>
      <c r="L267" s="850">
        <f t="shared" si="68"/>
        <v>385000</v>
      </c>
      <c r="M267" s="850">
        <v>0</v>
      </c>
      <c r="N267" s="850">
        <v>385000</v>
      </c>
    </row>
    <row r="268" spans="1:14" s="721" customFormat="1" ht="14.85" customHeight="1">
      <c r="A268" s="1282"/>
      <c r="B268" s="1292"/>
      <c r="C268" s="1284"/>
      <c r="D268" s="1292"/>
      <c r="E268" s="847"/>
      <c r="F268" s="1340"/>
      <c r="G268" s="814" t="s">
        <v>22</v>
      </c>
      <c r="H268" s="808">
        <f t="shared" si="66"/>
        <v>-522817</v>
      </c>
      <c r="I268" s="809">
        <f t="shared" si="67"/>
        <v>-247793</v>
      </c>
      <c r="J268" s="809">
        <v>0</v>
      </c>
      <c r="K268" s="809">
        <v>-247793</v>
      </c>
      <c r="L268" s="809">
        <f t="shared" si="68"/>
        <v>-275024</v>
      </c>
      <c r="M268" s="809">
        <v>0</v>
      </c>
      <c r="N268" s="809">
        <v>-275024</v>
      </c>
    </row>
    <row r="269" spans="1:14" s="721" customFormat="1" ht="14.85" customHeight="1">
      <c r="A269" s="1282"/>
      <c r="B269" s="1283"/>
      <c r="C269" s="1284"/>
      <c r="D269" s="1285"/>
      <c r="E269" s="840"/>
      <c r="F269" s="1341"/>
      <c r="G269" s="811" t="s">
        <v>23</v>
      </c>
      <c r="H269" s="808">
        <f t="shared" si="66"/>
        <v>287183</v>
      </c>
      <c r="I269" s="809">
        <f t="shared" si="67"/>
        <v>177207</v>
      </c>
      <c r="J269" s="809">
        <f>J267+J268</f>
        <v>0</v>
      </c>
      <c r="K269" s="809">
        <f>K267+K268</f>
        <v>177207</v>
      </c>
      <c r="L269" s="809">
        <f t="shared" si="68"/>
        <v>109976</v>
      </c>
      <c r="M269" s="809">
        <f>M267+M268</f>
        <v>0</v>
      </c>
      <c r="N269" s="809">
        <f>N267+N268</f>
        <v>109976</v>
      </c>
    </row>
    <row r="270" spans="1:14" s="721" customFormat="1" ht="14.85" customHeight="1">
      <c r="A270" s="1282"/>
      <c r="B270" s="1283"/>
      <c r="C270" s="1280" t="s">
        <v>446</v>
      </c>
      <c r="D270" s="1281"/>
      <c r="E270" s="845" t="s">
        <v>821</v>
      </c>
      <c r="F270" s="1339" t="s">
        <v>1094</v>
      </c>
      <c r="G270" s="814" t="s">
        <v>21</v>
      </c>
      <c r="H270" s="808">
        <f>I270+L270</f>
        <v>77701582</v>
      </c>
      <c r="I270" s="809">
        <f>J270+K270</f>
        <v>62066619</v>
      </c>
      <c r="J270" s="809">
        <v>56558943</v>
      </c>
      <c r="K270" s="809">
        <v>5507676</v>
      </c>
      <c r="L270" s="809">
        <f>M270+N270</f>
        <v>15634963</v>
      </c>
      <c r="M270" s="809">
        <v>14410831</v>
      </c>
      <c r="N270" s="809">
        <v>1224132</v>
      </c>
    </row>
    <row r="271" spans="1:14" s="721" customFormat="1" ht="14.85" customHeight="1">
      <c r="A271" s="1282"/>
      <c r="B271" s="1292"/>
      <c r="C271" s="1284"/>
      <c r="D271" s="1292"/>
      <c r="E271" s="847"/>
      <c r="F271" s="1340"/>
      <c r="G271" s="814" t="s">
        <v>22</v>
      </c>
      <c r="H271" s="808">
        <f>I271+L271</f>
        <v>-60189882</v>
      </c>
      <c r="I271" s="809">
        <f>J271+K271</f>
        <v>-45556619</v>
      </c>
      <c r="J271" s="809">
        <v>-40558943</v>
      </c>
      <c r="K271" s="809">
        <v>-4997676</v>
      </c>
      <c r="L271" s="809">
        <f>M271+N271</f>
        <v>-14633263</v>
      </c>
      <c r="M271" s="809">
        <v>-13415831</v>
      </c>
      <c r="N271" s="809">
        <v>-1217432</v>
      </c>
    </row>
    <row r="272" spans="1:14" s="721" customFormat="1" ht="14.85" customHeight="1">
      <c r="A272" s="1282"/>
      <c r="B272" s="1283"/>
      <c r="C272" s="1284"/>
      <c r="D272" s="1285"/>
      <c r="E272" s="840"/>
      <c r="F272" s="1341"/>
      <c r="G272" s="811" t="s">
        <v>23</v>
      </c>
      <c r="H272" s="808">
        <f>I272+L272</f>
        <v>17511700</v>
      </c>
      <c r="I272" s="809">
        <f>J272+K272</f>
        <v>16510000</v>
      </c>
      <c r="J272" s="809">
        <f>J270+J271</f>
        <v>16000000</v>
      </c>
      <c r="K272" s="809">
        <f>K270+K271</f>
        <v>510000</v>
      </c>
      <c r="L272" s="809">
        <f>M272+N272</f>
        <v>1001700</v>
      </c>
      <c r="M272" s="809">
        <f>M270+M271</f>
        <v>995000</v>
      </c>
      <c r="N272" s="809">
        <f>N270+N271</f>
        <v>6700</v>
      </c>
    </row>
    <row r="273" spans="1:14" s="721" customFormat="1" ht="14.85" customHeight="1">
      <c r="A273" s="1282"/>
      <c r="B273" s="1283"/>
      <c r="C273" s="1284"/>
      <c r="D273" s="1285"/>
      <c r="E273" s="845" t="s">
        <v>845</v>
      </c>
      <c r="F273" s="1339" t="s">
        <v>1095</v>
      </c>
      <c r="G273" s="814" t="s">
        <v>21</v>
      </c>
      <c r="H273" s="808">
        <f t="shared" si="66"/>
        <v>423988</v>
      </c>
      <c r="I273" s="809">
        <f t="shared" si="67"/>
        <v>308672</v>
      </c>
      <c r="J273" s="809">
        <v>8172</v>
      </c>
      <c r="K273" s="809">
        <v>300500</v>
      </c>
      <c r="L273" s="809">
        <f t="shared" si="68"/>
        <v>115316</v>
      </c>
      <c r="M273" s="809">
        <v>6316</v>
      </c>
      <c r="N273" s="809">
        <v>109000</v>
      </c>
    </row>
    <row r="274" spans="1:14" s="721" customFormat="1" ht="14.85" customHeight="1">
      <c r="A274" s="1282"/>
      <c r="B274" s="1292"/>
      <c r="C274" s="1284"/>
      <c r="D274" s="1292"/>
      <c r="E274" s="847"/>
      <c r="F274" s="1340"/>
      <c r="G274" s="814" t="s">
        <v>22</v>
      </c>
      <c r="H274" s="808">
        <f t="shared" si="66"/>
        <v>-146052</v>
      </c>
      <c r="I274" s="809">
        <f t="shared" si="67"/>
        <v>-127770</v>
      </c>
      <c r="J274" s="809">
        <v>0</v>
      </c>
      <c r="K274" s="809">
        <f>-67770-60000</f>
        <v>-127770</v>
      </c>
      <c r="L274" s="809">
        <f t="shared" si="68"/>
        <v>-18282</v>
      </c>
      <c r="M274" s="809">
        <v>0</v>
      </c>
      <c r="N274" s="809">
        <v>-18282</v>
      </c>
    </row>
    <row r="275" spans="1:14" s="721" customFormat="1" ht="14.85" customHeight="1">
      <c r="A275" s="1282"/>
      <c r="B275" s="1283"/>
      <c r="C275" s="1284"/>
      <c r="D275" s="1285"/>
      <c r="E275" s="840"/>
      <c r="F275" s="1341"/>
      <c r="G275" s="811" t="s">
        <v>23</v>
      </c>
      <c r="H275" s="808">
        <f t="shared" si="66"/>
        <v>277936</v>
      </c>
      <c r="I275" s="809">
        <f t="shared" si="67"/>
        <v>180902</v>
      </c>
      <c r="J275" s="809">
        <f>J273+J274</f>
        <v>8172</v>
      </c>
      <c r="K275" s="809">
        <f>K273+K274</f>
        <v>172730</v>
      </c>
      <c r="L275" s="809">
        <f t="shared" si="68"/>
        <v>97034</v>
      </c>
      <c r="M275" s="809">
        <f>M273+M274</f>
        <v>6316</v>
      </c>
      <c r="N275" s="809">
        <f>N273+N274</f>
        <v>90718</v>
      </c>
    </row>
    <row r="276" spans="1:14" s="721" customFormat="1" ht="14.45" customHeight="1">
      <c r="A276" s="1282"/>
      <c r="B276" s="1283"/>
      <c r="C276" s="1284"/>
      <c r="D276" s="1285"/>
      <c r="E276" s="845" t="s">
        <v>859</v>
      </c>
      <c r="F276" s="1339" t="s">
        <v>953</v>
      </c>
      <c r="G276" s="814" t="s">
        <v>21</v>
      </c>
      <c r="H276" s="808">
        <f t="shared" si="66"/>
        <v>956089</v>
      </c>
      <c r="I276" s="809">
        <f t="shared" si="67"/>
        <v>75000</v>
      </c>
      <c r="J276" s="809">
        <v>0</v>
      </c>
      <c r="K276" s="809">
        <v>75000</v>
      </c>
      <c r="L276" s="809">
        <f t="shared" si="68"/>
        <v>881089</v>
      </c>
      <c r="M276" s="809">
        <v>21089</v>
      </c>
      <c r="N276" s="809">
        <v>860000</v>
      </c>
    </row>
    <row r="277" spans="1:14" s="721" customFormat="1" ht="14.45" customHeight="1">
      <c r="A277" s="1282"/>
      <c r="B277" s="1292"/>
      <c r="C277" s="1284"/>
      <c r="D277" s="1292"/>
      <c r="E277" s="847"/>
      <c r="F277" s="1340"/>
      <c r="G277" s="814" t="s">
        <v>22</v>
      </c>
      <c r="H277" s="808">
        <f t="shared" si="66"/>
        <v>-504259</v>
      </c>
      <c r="I277" s="809">
        <f t="shared" si="67"/>
        <v>-75000</v>
      </c>
      <c r="J277" s="809">
        <v>0</v>
      </c>
      <c r="K277" s="809">
        <v>-75000</v>
      </c>
      <c r="L277" s="809">
        <f t="shared" si="68"/>
        <v>-429259</v>
      </c>
      <c r="M277" s="809">
        <v>0</v>
      </c>
      <c r="N277" s="809">
        <v>-429259</v>
      </c>
    </row>
    <row r="278" spans="1:14" s="721" customFormat="1" ht="14.45" customHeight="1">
      <c r="A278" s="1282"/>
      <c r="B278" s="1283"/>
      <c r="C278" s="1284"/>
      <c r="D278" s="1285"/>
      <c r="E278" s="840"/>
      <c r="F278" s="1341"/>
      <c r="G278" s="811" t="s">
        <v>23</v>
      </c>
      <c r="H278" s="808">
        <f t="shared" si="66"/>
        <v>451830</v>
      </c>
      <c r="I278" s="809">
        <f t="shared" si="67"/>
        <v>0</v>
      </c>
      <c r="J278" s="809">
        <f>J276+J277</f>
        <v>0</v>
      </c>
      <c r="K278" s="809">
        <f>K276+K277</f>
        <v>0</v>
      </c>
      <c r="L278" s="809">
        <f t="shared" si="68"/>
        <v>451830</v>
      </c>
      <c r="M278" s="809">
        <f>M276+M277</f>
        <v>21089</v>
      </c>
      <c r="N278" s="809">
        <f>N276+N277</f>
        <v>430741</v>
      </c>
    </row>
    <row r="279" spans="1:14" s="721" customFormat="1" ht="14.45" customHeight="1">
      <c r="A279" s="1282"/>
      <c r="B279" s="1283"/>
      <c r="C279" s="1284"/>
      <c r="D279" s="1285"/>
      <c r="E279" s="847"/>
      <c r="F279" s="1339" t="s">
        <v>1096</v>
      </c>
      <c r="G279" s="814" t="s">
        <v>21</v>
      </c>
      <c r="H279" s="808">
        <f>I279+L279</f>
        <v>27856669</v>
      </c>
      <c r="I279" s="809">
        <f>J279+K279</f>
        <v>25659322</v>
      </c>
      <c r="J279" s="809">
        <v>0</v>
      </c>
      <c r="K279" s="809">
        <v>25659322</v>
      </c>
      <c r="L279" s="809">
        <f>M279+N279</f>
        <v>2197347</v>
      </c>
      <c r="M279" s="809">
        <v>0</v>
      </c>
      <c r="N279" s="809">
        <v>2197347</v>
      </c>
    </row>
    <row r="280" spans="1:14" s="721" customFormat="1" ht="14.45" customHeight="1">
      <c r="A280" s="1282"/>
      <c r="B280" s="1292"/>
      <c r="C280" s="1284"/>
      <c r="D280" s="1292"/>
      <c r="E280" s="847"/>
      <c r="F280" s="1340"/>
      <c r="G280" s="814" t="s">
        <v>22</v>
      </c>
      <c r="H280" s="808">
        <f>I280+L280</f>
        <v>-1505002</v>
      </c>
      <c r="I280" s="809">
        <f>J280+K280</f>
        <v>-1505002</v>
      </c>
      <c r="J280" s="809">
        <v>0</v>
      </c>
      <c r="K280" s="809">
        <v>-1505002</v>
      </c>
      <c r="L280" s="809">
        <f>M280+N280</f>
        <v>0</v>
      </c>
      <c r="M280" s="809">
        <v>0</v>
      </c>
      <c r="N280" s="809">
        <v>0</v>
      </c>
    </row>
    <row r="281" spans="1:14" s="721" customFormat="1" ht="14.45" customHeight="1">
      <c r="A281" s="1301"/>
      <c r="B281" s="1302"/>
      <c r="C281" s="1303"/>
      <c r="D281" s="1304"/>
      <c r="E281" s="841"/>
      <c r="F281" s="1341"/>
      <c r="G281" s="818" t="s">
        <v>23</v>
      </c>
      <c r="H281" s="779">
        <f>I281+L281</f>
        <v>26351667</v>
      </c>
      <c r="I281" s="780">
        <f>J281+K281</f>
        <v>24154320</v>
      </c>
      <c r="J281" s="780">
        <f>J279+J280</f>
        <v>0</v>
      </c>
      <c r="K281" s="780">
        <f>K279+K280</f>
        <v>24154320</v>
      </c>
      <c r="L281" s="780">
        <f>M281+N281</f>
        <v>2197347</v>
      </c>
      <c r="M281" s="780">
        <f>M279+M280</f>
        <v>0</v>
      </c>
      <c r="N281" s="780">
        <f>N279+N280</f>
        <v>2197347</v>
      </c>
    </row>
    <row r="282" spans="1:14" s="721" customFormat="1" ht="14.85" customHeight="1">
      <c r="A282" s="1278" t="s">
        <v>282</v>
      </c>
      <c r="B282" s="1279"/>
      <c r="C282" s="1280" t="s">
        <v>1097</v>
      </c>
      <c r="D282" s="1281"/>
      <c r="E282" s="845" t="s">
        <v>955</v>
      </c>
      <c r="F282" s="1339" t="s">
        <v>956</v>
      </c>
      <c r="G282" s="814" t="s">
        <v>21</v>
      </c>
      <c r="H282" s="808">
        <f t="shared" si="66"/>
        <v>1500000</v>
      </c>
      <c r="I282" s="809">
        <f t="shared" si="67"/>
        <v>0</v>
      </c>
      <c r="J282" s="809">
        <v>0</v>
      </c>
      <c r="K282" s="809">
        <v>0</v>
      </c>
      <c r="L282" s="809">
        <f t="shared" si="68"/>
        <v>1500000</v>
      </c>
      <c r="M282" s="809">
        <v>0</v>
      </c>
      <c r="N282" s="809">
        <v>1500000</v>
      </c>
    </row>
    <row r="283" spans="1:14" s="721" customFormat="1" ht="14.85" customHeight="1">
      <c r="A283" s="1282"/>
      <c r="B283" s="1292"/>
      <c r="C283" s="1284"/>
      <c r="D283" s="1292"/>
      <c r="E283" s="847"/>
      <c r="F283" s="1340"/>
      <c r="G283" s="814" t="s">
        <v>22</v>
      </c>
      <c r="H283" s="808">
        <f t="shared" si="66"/>
        <v>197000</v>
      </c>
      <c r="I283" s="809">
        <f t="shared" si="67"/>
        <v>0</v>
      </c>
      <c r="J283" s="809">
        <v>0</v>
      </c>
      <c r="K283" s="809">
        <v>0</v>
      </c>
      <c r="L283" s="809">
        <f t="shared" si="68"/>
        <v>197000</v>
      </c>
      <c r="M283" s="809">
        <v>0</v>
      </c>
      <c r="N283" s="809">
        <v>197000</v>
      </c>
    </row>
    <row r="284" spans="1:14" s="721" customFormat="1" ht="14.85" customHeight="1">
      <c r="A284" s="1282"/>
      <c r="B284" s="1283"/>
      <c r="C284" s="1284"/>
      <c r="D284" s="1285"/>
      <c r="E284" s="840"/>
      <c r="F284" s="1341"/>
      <c r="G284" s="811" t="s">
        <v>23</v>
      </c>
      <c r="H284" s="808">
        <f t="shared" si="66"/>
        <v>1697000</v>
      </c>
      <c r="I284" s="809">
        <f t="shared" si="67"/>
        <v>0</v>
      </c>
      <c r="J284" s="809">
        <f>J282+J283</f>
        <v>0</v>
      </c>
      <c r="K284" s="809">
        <f>K282+K283</f>
        <v>0</v>
      </c>
      <c r="L284" s="809">
        <f t="shared" si="68"/>
        <v>1697000</v>
      </c>
      <c r="M284" s="809">
        <f>M282+M283</f>
        <v>0</v>
      </c>
      <c r="N284" s="809">
        <f>N282+N283</f>
        <v>1697000</v>
      </c>
    </row>
    <row r="285" spans="1:14" s="721" customFormat="1" ht="14.85" customHeight="1">
      <c r="A285" s="1282"/>
      <c r="B285" s="1283"/>
      <c r="C285" s="1280" t="s">
        <v>1098</v>
      </c>
      <c r="D285" s="1281"/>
      <c r="E285" s="845" t="s">
        <v>948</v>
      </c>
      <c r="F285" s="1339" t="s">
        <v>949</v>
      </c>
      <c r="G285" s="814" t="s">
        <v>21</v>
      </c>
      <c r="H285" s="808">
        <f t="shared" si="66"/>
        <v>115000</v>
      </c>
      <c r="I285" s="809">
        <f t="shared" si="67"/>
        <v>115000</v>
      </c>
      <c r="J285" s="809">
        <v>0</v>
      </c>
      <c r="K285" s="809">
        <v>115000</v>
      </c>
      <c r="L285" s="809">
        <f t="shared" si="68"/>
        <v>0</v>
      </c>
      <c r="M285" s="809">
        <v>0</v>
      </c>
      <c r="N285" s="809">
        <v>0</v>
      </c>
    </row>
    <row r="286" spans="1:14" s="721" customFormat="1" ht="14.85" customHeight="1">
      <c r="A286" s="1282"/>
      <c r="B286" s="1292"/>
      <c r="C286" s="1284"/>
      <c r="D286" s="1292"/>
      <c r="E286" s="847"/>
      <c r="F286" s="1340"/>
      <c r="G286" s="814" t="s">
        <v>22</v>
      </c>
      <c r="H286" s="808">
        <f t="shared" si="66"/>
        <v>-44876</v>
      </c>
      <c r="I286" s="809">
        <f t="shared" si="67"/>
        <v>-44876</v>
      </c>
      <c r="J286" s="809">
        <v>0</v>
      </c>
      <c r="K286" s="809">
        <v>-44876</v>
      </c>
      <c r="L286" s="809">
        <f t="shared" si="68"/>
        <v>0</v>
      </c>
      <c r="M286" s="809">
        <v>0</v>
      </c>
      <c r="N286" s="809">
        <v>0</v>
      </c>
    </row>
    <row r="287" spans="1:14" s="721" customFormat="1" ht="14.85" customHeight="1">
      <c r="A287" s="1282"/>
      <c r="B287" s="1283"/>
      <c r="C287" s="1284"/>
      <c r="D287" s="1285"/>
      <c r="E287" s="840"/>
      <c r="F287" s="1341"/>
      <c r="G287" s="811" t="s">
        <v>23</v>
      </c>
      <c r="H287" s="808">
        <f t="shared" si="66"/>
        <v>70124</v>
      </c>
      <c r="I287" s="809">
        <f t="shared" si="67"/>
        <v>70124</v>
      </c>
      <c r="J287" s="809">
        <f>J285+J286</f>
        <v>0</v>
      </c>
      <c r="K287" s="809">
        <f>K285+K286</f>
        <v>70124</v>
      </c>
      <c r="L287" s="809">
        <f t="shared" si="68"/>
        <v>0</v>
      </c>
      <c r="M287" s="809">
        <f>M285+M286</f>
        <v>0</v>
      </c>
      <c r="N287" s="809">
        <f>N285+N286</f>
        <v>0</v>
      </c>
    </row>
    <row r="288" spans="1:14" s="721" customFormat="1" ht="14.85" customHeight="1">
      <c r="A288" s="1282"/>
      <c r="B288" s="1283"/>
      <c r="C288" s="1280" t="s">
        <v>1099</v>
      </c>
      <c r="D288" s="1281"/>
      <c r="E288" s="845" t="s">
        <v>916</v>
      </c>
      <c r="F288" s="1339" t="s">
        <v>918</v>
      </c>
      <c r="G288" s="814" t="s">
        <v>21</v>
      </c>
      <c r="H288" s="779">
        <f t="shared" si="66"/>
        <v>1302785</v>
      </c>
      <c r="I288" s="780">
        <f t="shared" si="67"/>
        <v>1302785</v>
      </c>
      <c r="J288" s="780">
        <v>1302547</v>
      </c>
      <c r="K288" s="780">
        <v>238</v>
      </c>
      <c r="L288" s="780">
        <f t="shared" si="68"/>
        <v>0</v>
      </c>
      <c r="M288" s="780">
        <v>0</v>
      </c>
      <c r="N288" s="780">
        <v>0</v>
      </c>
    </row>
    <row r="289" spans="1:14" s="721" customFormat="1" ht="14.85" customHeight="1">
      <c r="A289" s="1282"/>
      <c r="B289" s="1292"/>
      <c r="C289" s="1284"/>
      <c r="D289" s="1292"/>
      <c r="E289" s="847"/>
      <c r="F289" s="1340"/>
      <c r="G289" s="814" t="s">
        <v>22</v>
      </c>
      <c r="H289" s="779">
        <f t="shared" si="66"/>
        <v>-1175461</v>
      </c>
      <c r="I289" s="780">
        <f t="shared" si="67"/>
        <v>-1175461</v>
      </c>
      <c r="J289" s="780">
        <v>-1175223</v>
      </c>
      <c r="K289" s="780">
        <v>-238</v>
      </c>
      <c r="L289" s="780">
        <f t="shared" si="68"/>
        <v>0</v>
      </c>
      <c r="M289" s="780">
        <v>0</v>
      </c>
      <c r="N289" s="780">
        <v>0</v>
      </c>
    </row>
    <row r="290" spans="1:14" s="721" customFormat="1" ht="14.85" customHeight="1">
      <c r="A290" s="1282"/>
      <c r="B290" s="1283"/>
      <c r="C290" s="1284"/>
      <c r="D290" s="1285"/>
      <c r="E290" s="840"/>
      <c r="F290" s="1341"/>
      <c r="G290" s="811" t="s">
        <v>23</v>
      </c>
      <c r="H290" s="808">
        <f t="shared" si="66"/>
        <v>127324</v>
      </c>
      <c r="I290" s="809">
        <f t="shared" si="67"/>
        <v>127324</v>
      </c>
      <c r="J290" s="809">
        <f>J288+J289</f>
        <v>127324</v>
      </c>
      <c r="K290" s="809">
        <f>K288+K289</f>
        <v>0</v>
      </c>
      <c r="L290" s="809">
        <f t="shared" si="68"/>
        <v>0</v>
      </c>
      <c r="M290" s="809">
        <f>M288+M289</f>
        <v>0</v>
      </c>
      <c r="N290" s="809">
        <f>N288+N289</f>
        <v>0</v>
      </c>
    </row>
    <row r="291" spans="1:14" s="721" customFormat="1" ht="15" hidden="1" customHeight="1">
      <c r="A291" s="1282"/>
      <c r="B291" s="1283"/>
      <c r="C291" s="1284"/>
      <c r="D291" s="1285"/>
      <c r="E291" s="845" t="s">
        <v>841</v>
      </c>
      <c r="F291" s="1339" t="s">
        <v>843</v>
      </c>
      <c r="G291" s="814" t="s">
        <v>21</v>
      </c>
      <c r="H291" s="779">
        <f t="shared" si="66"/>
        <v>6197726</v>
      </c>
      <c r="I291" s="780">
        <f t="shared" si="67"/>
        <v>6197726</v>
      </c>
      <c r="J291" s="780">
        <v>0</v>
      </c>
      <c r="K291" s="780">
        <v>6197726</v>
      </c>
      <c r="L291" s="780">
        <f t="shared" si="68"/>
        <v>0</v>
      </c>
      <c r="M291" s="780">
        <v>0</v>
      </c>
      <c r="N291" s="780">
        <v>0</v>
      </c>
    </row>
    <row r="292" spans="1:14" s="721" customFormat="1" ht="15" hidden="1" customHeight="1">
      <c r="A292" s="1282"/>
      <c r="B292" s="1292"/>
      <c r="C292" s="1284"/>
      <c r="D292" s="1292"/>
      <c r="E292" s="847"/>
      <c r="F292" s="1340"/>
      <c r="G292" s="814" t="s">
        <v>22</v>
      </c>
      <c r="H292" s="779">
        <f t="shared" si="66"/>
        <v>0</v>
      </c>
      <c r="I292" s="780">
        <f t="shared" si="67"/>
        <v>0</v>
      </c>
      <c r="J292" s="780">
        <v>0</v>
      </c>
      <c r="K292" s="780">
        <v>0</v>
      </c>
      <c r="L292" s="780">
        <f t="shared" si="68"/>
        <v>0</v>
      </c>
      <c r="M292" s="780">
        <v>0</v>
      </c>
      <c r="N292" s="780">
        <v>0</v>
      </c>
    </row>
    <row r="293" spans="1:14" s="721" customFormat="1" ht="15" hidden="1" customHeight="1">
      <c r="A293" s="1282"/>
      <c r="B293" s="1283"/>
      <c r="C293" s="1284"/>
      <c r="D293" s="1285"/>
      <c r="E293" s="840"/>
      <c r="F293" s="1341"/>
      <c r="G293" s="811" t="s">
        <v>23</v>
      </c>
      <c r="H293" s="808">
        <f t="shared" si="66"/>
        <v>6197726</v>
      </c>
      <c r="I293" s="809">
        <f t="shared" si="67"/>
        <v>6197726</v>
      </c>
      <c r="J293" s="809">
        <f>J291+J292</f>
        <v>0</v>
      </c>
      <c r="K293" s="809">
        <f>K291+K292</f>
        <v>6197726</v>
      </c>
      <c r="L293" s="809">
        <f t="shared" si="68"/>
        <v>0</v>
      </c>
      <c r="M293" s="809">
        <f>M291+M292</f>
        <v>0</v>
      </c>
      <c r="N293" s="809">
        <f>N291+N292</f>
        <v>0</v>
      </c>
    </row>
    <row r="294" spans="1:14" s="721" customFormat="1" ht="14.85" customHeight="1">
      <c r="A294" s="1282"/>
      <c r="B294" s="1283"/>
      <c r="C294" s="1284"/>
      <c r="D294" s="1285"/>
      <c r="E294" s="845" t="s">
        <v>841</v>
      </c>
      <c r="F294" s="1339" t="s">
        <v>939</v>
      </c>
      <c r="G294" s="814" t="s">
        <v>21</v>
      </c>
      <c r="H294" s="779">
        <f>I294+L294</f>
        <v>38563</v>
      </c>
      <c r="I294" s="780">
        <f>J294+K294</f>
        <v>0</v>
      </c>
      <c r="J294" s="780">
        <v>0</v>
      </c>
      <c r="K294" s="780">
        <v>0</v>
      </c>
      <c r="L294" s="780">
        <f>M294+N294</f>
        <v>38563</v>
      </c>
      <c r="M294" s="780">
        <v>0</v>
      </c>
      <c r="N294" s="780">
        <v>38563</v>
      </c>
    </row>
    <row r="295" spans="1:14" s="721" customFormat="1" ht="14.85" customHeight="1">
      <c r="A295" s="1282"/>
      <c r="B295" s="1292"/>
      <c r="C295" s="1284"/>
      <c r="D295" s="1292"/>
      <c r="E295" s="847"/>
      <c r="F295" s="1340"/>
      <c r="G295" s="814" t="s">
        <v>22</v>
      </c>
      <c r="H295" s="779">
        <f>I295+L295</f>
        <v>-38563</v>
      </c>
      <c r="I295" s="780">
        <f>J295+K295</f>
        <v>0</v>
      </c>
      <c r="J295" s="780">
        <v>0</v>
      </c>
      <c r="K295" s="780">
        <v>0</v>
      </c>
      <c r="L295" s="780">
        <f>M295+N295</f>
        <v>-38563</v>
      </c>
      <c r="M295" s="780">
        <v>0</v>
      </c>
      <c r="N295" s="780">
        <v>-38563</v>
      </c>
    </row>
    <row r="296" spans="1:14" s="721" customFormat="1" ht="14.85" customHeight="1">
      <c r="A296" s="1282"/>
      <c r="B296" s="1283"/>
      <c r="C296" s="1284"/>
      <c r="D296" s="1285"/>
      <c r="E296" s="840"/>
      <c r="F296" s="1341"/>
      <c r="G296" s="811" t="s">
        <v>23</v>
      </c>
      <c r="H296" s="808">
        <f>I296+L296</f>
        <v>0</v>
      </c>
      <c r="I296" s="809">
        <f>J296+K296</f>
        <v>0</v>
      </c>
      <c r="J296" s="809">
        <f>J294+J295</f>
        <v>0</v>
      </c>
      <c r="K296" s="809">
        <f>K294+K295</f>
        <v>0</v>
      </c>
      <c r="L296" s="809">
        <f>M296+N296</f>
        <v>0</v>
      </c>
      <c r="M296" s="809">
        <f>M294+M295</f>
        <v>0</v>
      </c>
      <c r="N296" s="809">
        <f>N294+N295</f>
        <v>0</v>
      </c>
    </row>
    <row r="297" spans="1:14" s="721" customFormat="1" ht="14.1" hidden="1" customHeight="1">
      <c r="A297" s="1282"/>
      <c r="B297" s="1283"/>
      <c r="C297" s="1284"/>
      <c r="D297" s="1285"/>
      <c r="E297" s="845" t="s">
        <v>680</v>
      </c>
      <c r="F297" s="1339" t="s">
        <v>858</v>
      </c>
      <c r="G297" s="814" t="s">
        <v>21</v>
      </c>
      <c r="H297" s="808">
        <f t="shared" si="66"/>
        <v>2068434</v>
      </c>
      <c r="I297" s="809">
        <f t="shared" si="67"/>
        <v>0</v>
      </c>
      <c r="J297" s="809">
        <v>0</v>
      </c>
      <c r="K297" s="809">
        <v>0</v>
      </c>
      <c r="L297" s="809">
        <f t="shared" si="68"/>
        <v>2068434</v>
      </c>
      <c r="M297" s="809">
        <v>0</v>
      </c>
      <c r="N297" s="809">
        <v>2068434</v>
      </c>
    </row>
    <row r="298" spans="1:14" s="721" customFormat="1" ht="14.1" hidden="1" customHeight="1">
      <c r="A298" s="1282"/>
      <c r="B298" s="1292"/>
      <c r="C298" s="1284"/>
      <c r="D298" s="1292"/>
      <c r="E298" s="847"/>
      <c r="F298" s="1340"/>
      <c r="G298" s="814" t="s">
        <v>22</v>
      </c>
      <c r="H298" s="808">
        <f t="shared" si="66"/>
        <v>0</v>
      </c>
      <c r="I298" s="809">
        <f t="shared" si="67"/>
        <v>0</v>
      </c>
      <c r="J298" s="809">
        <v>0</v>
      </c>
      <c r="K298" s="809">
        <v>0</v>
      </c>
      <c r="L298" s="809">
        <f t="shared" si="68"/>
        <v>0</v>
      </c>
      <c r="M298" s="809">
        <v>0</v>
      </c>
      <c r="N298" s="809">
        <v>0</v>
      </c>
    </row>
    <row r="299" spans="1:14" s="721" customFormat="1" ht="14.1" hidden="1" customHeight="1">
      <c r="A299" s="1282"/>
      <c r="B299" s="1283"/>
      <c r="C299" s="1284"/>
      <c r="D299" s="1285"/>
      <c r="E299" s="840"/>
      <c r="F299" s="1341"/>
      <c r="G299" s="811" t="s">
        <v>23</v>
      </c>
      <c r="H299" s="808">
        <f t="shared" si="66"/>
        <v>2068434</v>
      </c>
      <c r="I299" s="809">
        <f t="shared" si="67"/>
        <v>0</v>
      </c>
      <c r="J299" s="809">
        <f>J297+J298</f>
        <v>0</v>
      </c>
      <c r="K299" s="809">
        <f>K297+K298</f>
        <v>0</v>
      </c>
      <c r="L299" s="809">
        <f t="shared" si="68"/>
        <v>2068434</v>
      </c>
      <c r="M299" s="809">
        <f>M297+M298</f>
        <v>0</v>
      </c>
      <c r="N299" s="809">
        <f>N297+N298</f>
        <v>2068434</v>
      </c>
    </row>
    <row r="300" spans="1:14" s="721" customFormat="1" ht="14.85" hidden="1" customHeight="1">
      <c r="A300" s="1282"/>
      <c r="B300" s="1283"/>
      <c r="C300" s="1284"/>
      <c r="D300" s="1285"/>
      <c r="E300" s="847"/>
      <c r="F300" s="1339" t="s">
        <v>856</v>
      </c>
      <c r="G300" s="814" t="s">
        <v>21</v>
      </c>
      <c r="H300" s="808">
        <f t="shared" si="66"/>
        <v>1250960</v>
      </c>
      <c r="I300" s="809">
        <f t="shared" si="67"/>
        <v>1250960</v>
      </c>
      <c r="J300" s="809">
        <v>0</v>
      </c>
      <c r="K300" s="809">
        <v>1250960</v>
      </c>
      <c r="L300" s="809">
        <f t="shared" si="68"/>
        <v>0</v>
      </c>
      <c r="M300" s="809">
        <v>0</v>
      </c>
      <c r="N300" s="809">
        <v>0</v>
      </c>
    </row>
    <row r="301" spans="1:14" s="721" customFormat="1" ht="14.85" hidden="1" customHeight="1">
      <c r="A301" s="1282"/>
      <c r="B301" s="1292"/>
      <c r="C301" s="1284"/>
      <c r="D301" s="1292"/>
      <c r="E301" s="847"/>
      <c r="F301" s="1340"/>
      <c r="G301" s="814" t="s">
        <v>22</v>
      </c>
      <c r="H301" s="808">
        <f t="shared" si="66"/>
        <v>0</v>
      </c>
      <c r="I301" s="809">
        <f t="shared" si="67"/>
        <v>0</v>
      </c>
      <c r="J301" s="809">
        <v>0</v>
      </c>
      <c r="K301" s="809">
        <v>0</v>
      </c>
      <c r="L301" s="809">
        <f t="shared" si="68"/>
        <v>0</v>
      </c>
      <c r="M301" s="809">
        <v>0</v>
      </c>
      <c r="N301" s="809">
        <v>0</v>
      </c>
    </row>
    <row r="302" spans="1:14" s="721" customFormat="1" ht="14.85" hidden="1" customHeight="1">
      <c r="A302" s="1282"/>
      <c r="B302" s="1283"/>
      <c r="C302" s="1284"/>
      <c r="D302" s="1285"/>
      <c r="E302" s="840"/>
      <c r="F302" s="1341"/>
      <c r="G302" s="811" t="s">
        <v>23</v>
      </c>
      <c r="H302" s="808">
        <f t="shared" si="66"/>
        <v>1250960</v>
      </c>
      <c r="I302" s="809">
        <f t="shared" si="67"/>
        <v>1250960</v>
      </c>
      <c r="J302" s="809">
        <f>J300+J301</f>
        <v>0</v>
      </c>
      <c r="K302" s="809">
        <f>K300+K301</f>
        <v>1250960</v>
      </c>
      <c r="L302" s="809">
        <f t="shared" si="68"/>
        <v>0</v>
      </c>
      <c r="M302" s="809">
        <f>M300+M301</f>
        <v>0</v>
      </c>
      <c r="N302" s="809">
        <f>N300+N301</f>
        <v>0</v>
      </c>
    </row>
    <row r="303" spans="1:14" s="812" customFormat="1" ht="14.85" customHeight="1">
      <c r="A303" s="1286"/>
      <c r="B303" s="1287"/>
      <c r="C303" s="1260"/>
      <c r="D303" s="1261"/>
      <c r="E303" s="839" t="s">
        <v>680</v>
      </c>
      <c r="F303" s="1339" t="s">
        <v>951</v>
      </c>
      <c r="G303" s="814" t="s">
        <v>21</v>
      </c>
      <c r="H303" s="808">
        <f t="shared" si="66"/>
        <v>122032</v>
      </c>
      <c r="I303" s="809">
        <f t="shared" si="67"/>
        <v>100000</v>
      </c>
      <c r="J303" s="809">
        <v>0</v>
      </c>
      <c r="K303" s="809">
        <v>100000</v>
      </c>
      <c r="L303" s="809">
        <f t="shared" si="68"/>
        <v>22032</v>
      </c>
      <c r="M303" s="809">
        <v>0</v>
      </c>
      <c r="N303" s="809">
        <v>22032</v>
      </c>
    </row>
    <row r="304" spans="1:14" s="812" customFormat="1" ht="14.85" customHeight="1">
      <c r="A304" s="1286"/>
      <c r="B304" s="1292"/>
      <c r="C304" s="1260"/>
      <c r="D304" s="1292"/>
      <c r="E304" s="840"/>
      <c r="F304" s="1340"/>
      <c r="G304" s="814" t="s">
        <v>22</v>
      </c>
      <c r="H304" s="808">
        <f t="shared" si="66"/>
        <v>-122032</v>
      </c>
      <c r="I304" s="809">
        <f t="shared" si="67"/>
        <v>-100000</v>
      </c>
      <c r="J304" s="809">
        <v>0</v>
      </c>
      <c r="K304" s="809">
        <v>-100000</v>
      </c>
      <c r="L304" s="809">
        <f t="shared" si="68"/>
        <v>-22032</v>
      </c>
      <c r="M304" s="809">
        <v>0</v>
      </c>
      <c r="N304" s="809">
        <v>-22032</v>
      </c>
    </row>
    <row r="305" spans="1:14" s="721" customFormat="1" ht="14.85" customHeight="1">
      <c r="A305" s="1282"/>
      <c r="B305" s="1283"/>
      <c r="C305" s="1284"/>
      <c r="D305" s="1285"/>
      <c r="E305" s="840"/>
      <c r="F305" s="1340"/>
      <c r="G305" s="811" t="s">
        <v>23</v>
      </c>
      <c r="H305" s="808">
        <f t="shared" si="66"/>
        <v>0</v>
      </c>
      <c r="I305" s="809">
        <f t="shared" si="67"/>
        <v>0</v>
      </c>
      <c r="J305" s="809">
        <f>J303+J304</f>
        <v>0</v>
      </c>
      <c r="K305" s="809">
        <f>K303+K304</f>
        <v>0</v>
      </c>
      <c r="L305" s="809">
        <f t="shared" si="68"/>
        <v>0</v>
      </c>
      <c r="M305" s="809">
        <f>M303+M304</f>
        <v>0</v>
      </c>
      <c r="N305" s="809">
        <f>N303+N304</f>
        <v>0</v>
      </c>
    </row>
    <row r="306" spans="1:14" s="721" customFormat="1" ht="14.85" customHeight="1">
      <c r="A306" s="1282"/>
      <c r="B306" s="1283"/>
      <c r="C306" s="1284"/>
      <c r="D306" s="1285"/>
      <c r="E306" s="845" t="s">
        <v>864</v>
      </c>
      <c r="F306" s="1339" t="s">
        <v>954</v>
      </c>
      <c r="G306" s="814" t="s">
        <v>21</v>
      </c>
      <c r="H306" s="808">
        <f t="shared" si="66"/>
        <v>3807811</v>
      </c>
      <c r="I306" s="809">
        <f t="shared" si="67"/>
        <v>1346336</v>
      </c>
      <c r="J306" s="809">
        <v>10472</v>
      </c>
      <c r="K306" s="809">
        <f>375000+960864</f>
        <v>1335864</v>
      </c>
      <c r="L306" s="809">
        <f t="shared" si="68"/>
        <v>2461475</v>
      </c>
      <c r="M306" s="809">
        <v>194055</v>
      </c>
      <c r="N306" s="809">
        <v>2267420</v>
      </c>
    </row>
    <row r="307" spans="1:14" s="721" customFormat="1" ht="14.85" customHeight="1">
      <c r="A307" s="1282"/>
      <c r="B307" s="1292"/>
      <c r="C307" s="1284"/>
      <c r="D307" s="1292"/>
      <c r="E307" s="847"/>
      <c r="F307" s="1340"/>
      <c r="G307" s="814" t="s">
        <v>22</v>
      </c>
      <c r="H307" s="808">
        <f t="shared" si="66"/>
        <v>1166483</v>
      </c>
      <c r="I307" s="809">
        <f t="shared" si="67"/>
        <v>-512682</v>
      </c>
      <c r="J307" s="809">
        <v>0</v>
      </c>
      <c r="K307" s="809">
        <f>-467336-45346</f>
        <v>-512682</v>
      </c>
      <c r="L307" s="809">
        <f t="shared" si="68"/>
        <v>1679165</v>
      </c>
      <c r="M307" s="809">
        <v>136314</v>
      </c>
      <c r="N307" s="809">
        <v>1542851</v>
      </c>
    </row>
    <row r="308" spans="1:14" s="721" customFormat="1" ht="14.85" customHeight="1">
      <c r="A308" s="1282"/>
      <c r="B308" s="1283"/>
      <c r="C308" s="1284"/>
      <c r="D308" s="1285"/>
      <c r="E308" s="840"/>
      <c r="F308" s="1341"/>
      <c r="G308" s="818" t="s">
        <v>23</v>
      </c>
      <c r="H308" s="779">
        <f t="shared" si="66"/>
        <v>4974294</v>
      </c>
      <c r="I308" s="780">
        <f t="shared" si="67"/>
        <v>833654</v>
      </c>
      <c r="J308" s="780">
        <f>J306+J307</f>
        <v>10472</v>
      </c>
      <c r="K308" s="780">
        <f>K306+K307</f>
        <v>823182</v>
      </c>
      <c r="L308" s="780">
        <f t="shared" si="68"/>
        <v>4140640</v>
      </c>
      <c r="M308" s="780">
        <f>M306+M307</f>
        <v>330369</v>
      </c>
      <c r="N308" s="780">
        <f>N306+N307</f>
        <v>3810271</v>
      </c>
    </row>
    <row r="309" spans="1:14" s="721" customFormat="1" ht="14.1" hidden="1" customHeight="1">
      <c r="A309" s="1282"/>
      <c r="B309" s="1283"/>
      <c r="C309" s="1284"/>
      <c r="D309" s="1285"/>
      <c r="E309" s="847"/>
      <c r="F309" s="1339" t="s">
        <v>1100</v>
      </c>
      <c r="G309" s="814" t="s">
        <v>21</v>
      </c>
      <c r="H309" s="808">
        <f>I309+L309</f>
        <v>980424</v>
      </c>
      <c r="I309" s="809">
        <f>J309+K309</f>
        <v>179451</v>
      </c>
      <c r="J309" s="809">
        <v>0</v>
      </c>
      <c r="K309" s="809">
        <v>179451</v>
      </c>
      <c r="L309" s="809">
        <f>M309+N309</f>
        <v>800973</v>
      </c>
      <c r="M309" s="809">
        <v>0</v>
      </c>
      <c r="N309" s="809">
        <v>800973</v>
      </c>
    </row>
    <row r="310" spans="1:14" s="721" customFormat="1" ht="14.1" hidden="1" customHeight="1">
      <c r="A310" s="1282"/>
      <c r="B310" s="1292"/>
      <c r="C310" s="1284"/>
      <c r="D310" s="1292"/>
      <c r="E310" s="847"/>
      <c r="F310" s="1340"/>
      <c r="G310" s="814" t="s">
        <v>22</v>
      </c>
      <c r="H310" s="808">
        <f>I310+L310</f>
        <v>0</v>
      </c>
      <c r="I310" s="809">
        <f>J310+K310</f>
        <v>0</v>
      </c>
      <c r="J310" s="809">
        <v>0</v>
      </c>
      <c r="K310" s="809">
        <v>0</v>
      </c>
      <c r="L310" s="809">
        <f>M310+N310</f>
        <v>0</v>
      </c>
      <c r="M310" s="809">
        <v>0</v>
      </c>
      <c r="N310" s="809">
        <v>0</v>
      </c>
    </row>
    <row r="311" spans="1:14" s="721" customFormat="1" ht="14.1" hidden="1" customHeight="1">
      <c r="A311" s="1301"/>
      <c r="B311" s="1302"/>
      <c r="C311" s="1303"/>
      <c r="D311" s="1304"/>
      <c r="E311" s="841"/>
      <c r="F311" s="1341"/>
      <c r="G311" s="818" t="s">
        <v>23</v>
      </c>
      <c r="H311" s="779">
        <f>I311+L311</f>
        <v>980424</v>
      </c>
      <c r="I311" s="780">
        <f>J311+K311</f>
        <v>179451</v>
      </c>
      <c r="J311" s="780">
        <f>J309+J310</f>
        <v>0</v>
      </c>
      <c r="K311" s="780">
        <f>K309+K310</f>
        <v>179451</v>
      </c>
      <c r="L311" s="780">
        <f>M311+N311</f>
        <v>800973</v>
      </c>
      <c r="M311" s="780">
        <f>M309+M310</f>
        <v>0</v>
      </c>
      <c r="N311" s="780">
        <f>N309+N310</f>
        <v>800973</v>
      </c>
    </row>
    <row r="312" spans="1:14" s="812" customFormat="1" ht="14.85" customHeight="1">
      <c r="A312" s="1337" t="s">
        <v>286</v>
      </c>
      <c r="B312" s="1338"/>
      <c r="C312" s="1252" t="s">
        <v>1101</v>
      </c>
      <c r="D312" s="1253"/>
      <c r="E312" s="839" t="s">
        <v>931</v>
      </c>
      <c r="F312" s="1339" t="s">
        <v>932</v>
      </c>
      <c r="G312" s="814" t="s">
        <v>21</v>
      </c>
      <c r="H312" s="808">
        <f t="shared" si="66"/>
        <v>460036</v>
      </c>
      <c r="I312" s="809">
        <f t="shared" si="67"/>
        <v>54736</v>
      </c>
      <c r="J312" s="809">
        <v>0</v>
      </c>
      <c r="K312" s="809">
        <v>54736</v>
      </c>
      <c r="L312" s="809">
        <f t="shared" si="68"/>
        <v>405300</v>
      </c>
      <c r="M312" s="809">
        <v>0</v>
      </c>
      <c r="N312" s="809">
        <v>405300</v>
      </c>
    </row>
    <row r="313" spans="1:14" s="812" customFormat="1" ht="14.85" customHeight="1">
      <c r="A313" s="1286"/>
      <c r="B313" s="1292"/>
      <c r="C313" s="1260"/>
      <c r="D313" s="1292"/>
      <c r="E313" s="840"/>
      <c r="F313" s="1340"/>
      <c r="G313" s="814" t="s">
        <v>22</v>
      </c>
      <c r="H313" s="808">
        <f t="shared" ref="H313:H362" si="69">I313+L313</f>
        <v>-32036</v>
      </c>
      <c r="I313" s="809">
        <f t="shared" ref="I313:I362" si="70">J313+K313</f>
        <v>0</v>
      </c>
      <c r="J313" s="809">
        <v>0</v>
      </c>
      <c r="K313" s="809">
        <v>0</v>
      </c>
      <c r="L313" s="809">
        <f t="shared" ref="L313:L362" si="71">M313+N313</f>
        <v>-32036</v>
      </c>
      <c r="M313" s="809">
        <v>0</v>
      </c>
      <c r="N313" s="809">
        <v>-32036</v>
      </c>
    </row>
    <row r="314" spans="1:14" s="721" customFormat="1" ht="14.85" customHeight="1">
      <c r="A314" s="1282"/>
      <c r="B314" s="1283"/>
      <c r="C314" s="1284"/>
      <c r="D314" s="1285"/>
      <c r="E314" s="840"/>
      <c r="F314" s="1341"/>
      <c r="G314" s="811" t="s">
        <v>23</v>
      </c>
      <c r="H314" s="808">
        <f t="shared" si="69"/>
        <v>428000</v>
      </c>
      <c r="I314" s="809">
        <f t="shared" si="70"/>
        <v>54736</v>
      </c>
      <c r="J314" s="809">
        <f>J312+J313</f>
        <v>0</v>
      </c>
      <c r="K314" s="809">
        <f>K312+K313</f>
        <v>54736</v>
      </c>
      <c r="L314" s="809">
        <f t="shared" si="71"/>
        <v>373264</v>
      </c>
      <c r="M314" s="809">
        <f>M312+M313</f>
        <v>0</v>
      </c>
      <c r="N314" s="809">
        <f>N312+N313</f>
        <v>373264</v>
      </c>
    </row>
    <row r="315" spans="1:14" s="812" customFormat="1" ht="14.85" customHeight="1">
      <c r="A315" s="1286"/>
      <c r="B315" s="1287"/>
      <c r="C315" s="1260"/>
      <c r="D315" s="1261"/>
      <c r="E315" s="839" t="s">
        <v>933</v>
      </c>
      <c r="F315" s="1339" t="s">
        <v>935</v>
      </c>
      <c r="G315" s="814" t="s">
        <v>21</v>
      </c>
      <c r="H315" s="808">
        <f t="shared" si="69"/>
        <v>1506351</v>
      </c>
      <c r="I315" s="809">
        <f t="shared" si="70"/>
        <v>0</v>
      </c>
      <c r="J315" s="809">
        <v>0</v>
      </c>
      <c r="K315" s="809">
        <v>0</v>
      </c>
      <c r="L315" s="809">
        <f t="shared" si="71"/>
        <v>1506351</v>
      </c>
      <c r="M315" s="809">
        <v>0</v>
      </c>
      <c r="N315" s="809">
        <v>1506351</v>
      </c>
    </row>
    <row r="316" spans="1:14" s="812" customFormat="1" ht="14.85" customHeight="1">
      <c r="A316" s="1286"/>
      <c r="B316" s="1292"/>
      <c r="C316" s="1260"/>
      <c r="D316" s="1292"/>
      <c r="E316" s="840"/>
      <c r="F316" s="1340"/>
      <c r="G316" s="814" t="s">
        <v>22</v>
      </c>
      <c r="H316" s="808">
        <f t="shared" si="69"/>
        <v>-288351</v>
      </c>
      <c r="I316" s="809">
        <f t="shared" si="70"/>
        <v>0</v>
      </c>
      <c r="J316" s="809">
        <v>0</v>
      </c>
      <c r="K316" s="809">
        <v>0</v>
      </c>
      <c r="L316" s="809">
        <f t="shared" si="71"/>
        <v>-288351</v>
      </c>
      <c r="M316" s="809">
        <v>0</v>
      </c>
      <c r="N316" s="809">
        <v>-288351</v>
      </c>
    </row>
    <row r="317" spans="1:14" s="721" customFormat="1" ht="14.85" customHeight="1">
      <c r="A317" s="1282"/>
      <c r="B317" s="1283"/>
      <c r="C317" s="1284"/>
      <c r="D317" s="1285"/>
      <c r="E317" s="841"/>
      <c r="F317" s="1341"/>
      <c r="G317" s="818" t="s">
        <v>23</v>
      </c>
      <c r="H317" s="779">
        <f t="shared" si="69"/>
        <v>1218000</v>
      </c>
      <c r="I317" s="780">
        <f t="shared" si="70"/>
        <v>0</v>
      </c>
      <c r="J317" s="780">
        <f>J315+J316</f>
        <v>0</v>
      </c>
      <c r="K317" s="780">
        <f>K315+K316</f>
        <v>0</v>
      </c>
      <c r="L317" s="780">
        <f t="shared" si="71"/>
        <v>1218000</v>
      </c>
      <c r="M317" s="780">
        <f>M315+M316</f>
        <v>0</v>
      </c>
      <c r="N317" s="780">
        <f>N315+N316</f>
        <v>1218000</v>
      </c>
    </row>
    <row r="318" spans="1:14" s="721" customFormat="1" ht="15" hidden="1" customHeight="1">
      <c r="A318" s="1282"/>
      <c r="B318" s="1283"/>
      <c r="C318" s="1284"/>
      <c r="D318" s="1285"/>
      <c r="E318" s="845" t="s">
        <v>940</v>
      </c>
      <c r="F318" s="1339" t="s">
        <v>942</v>
      </c>
      <c r="G318" s="814" t="s">
        <v>21</v>
      </c>
      <c r="H318" s="808">
        <f t="shared" si="69"/>
        <v>753128</v>
      </c>
      <c r="I318" s="809">
        <f t="shared" si="70"/>
        <v>18823</v>
      </c>
      <c r="J318" s="809">
        <v>0</v>
      </c>
      <c r="K318" s="809">
        <v>18823</v>
      </c>
      <c r="L318" s="809">
        <f t="shared" si="71"/>
        <v>734305</v>
      </c>
      <c r="M318" s="809">
        <v>0</v>
      </c>
      <c r="N318" s="809">
        <v>734305</v>
      </c>
    </row>
    <row r="319" spans="1:14" s="721" customFormat="1" ht="15" hidden="1" customHeight="1">
      <c r="A319" s="1282"/>
      <c r="B319" s="1292"/>
      <c r="C319" s="1284"/>
      <c r="D319" s="1292"/>
      <c r="E319" s="847"/>
      <c r="F319" s="1340"/>
      <c r="G319" s="814" t="s">
        <v>22</v>
      </c>
      <c r="H319" s="808">
        <f t="shared" si="69"/>
        <v>0</v>
      </c>
      <c r="I319" s="809">
        <f t="shared" si="70"/>
        <v>0</v>
      </c>
      <c r="J319" s="809">
        <v>0</v>
      </c>
      <c r="K319" s="809">
        <v>0</v>
      </c>
      <c r="L319" s="809">
        <f t="shared" si="71"/>
        <v>0</v>
      </c>
      <c r="M319" s="809">
        <v>0</v>
      </c>
      <c r="N319" s="809">
        <v>0</v>
      </c>
    </row>
    <row r="320" spans="1:14" s="721" customFormat="1" ht="15" hidden="1" customHeight="1">
      <c r="A320" s="1282"/>
      <c r="B320" s="1283"/>
      <c r="C320" s="1284"/>
      <c r="D320" s="1285"/>
      <c r="E320" s="840"/>
      <c r="F320" s="1340"/>
      <c r="G320" s="811" t="s">
        <v>23</v>
      </c>
      <c r="H320" s="808">
        <f t="shared" si="69"/>
        <v>753128</v>
      </c>
      <c r="I320" s="809">
        <f t="shared" si="70"/>
        <v>18823</v>
      </c>
      <c r="J320" s="809">
        <f>J318+J319</f>
        <v>0</v>
      </c>
      <c r="K320" s="809">
        <f>K318+K319</f>
        <v>18823</v>
      </c>
      <c r="L320" s="809">
        <f t="shared" si="71"/>
        <v>734305</v>
      </c>
      <c r="M320" s="809">
        <f>M318+M319</f>
        <v>0</v>
      </c>
      <c r="N320" s="809">
        <f>N318+N319</f>
        <v>734305</v>
      </c>
    </row>
    <row r="321" spans="1:14" s="721" customFormat="1" ht="14.85" customHeight="1">
      <c r="A321" s="1282"/>
      <c r="B321" s="1283"/>
      <c r="C321" s="1284"/>
      <c r="D321" s="1285"/>
      <c r="E321" s="845" t="s">
        <v>864</v>
      </c>
      <c r="F321" s="1339" t="s">
        <v>865</v>
      </c>
      <c r="G321" s="814" t="s">
        <v>21</v>
      </c>
      <c r="H321" s="808">
        <f>I321+L321</f>
        <v>30939412</v>
      </c>
      <c r="I321" s="809">
        <f>J321+K321</f>
        <v>11822081</v>
      </c>
      <c r="J321" s="809">
        <v>0</v>
      </c>
      <c r="K321" s="809">
        <v>11822081</v>
      </c>
      <c r="L321" s="809">
        <f>M321+N321</f>
        <v>19117331</v>
      </c>
      <c r="M321" s="809">
        <v>0</v>
      </c>
      <c r="N321" s="809">
        <v>19117331</v>
      </c>
    </row>
    <row r="322" spans="1:14" s="721" customFormat="1" ht="14.85" customHeight="1">
      <c r="A322" s="1282"/>
      <c r="B322" s="1292"/>
      <c r="C322" s="1284"/>
      <c r="D322" s="1292"/>
      <c r="E322" s="847"/>
      <c r="F322" s="1340"/>
      <c r="G322" s="814" t="s">
        <v>22</v>
      </c>
      <c r="H322" s="808">
        <f>I322+L322</f>
        <v>-2275331</v>
      </c>
      <c r="I322" s="809">
        <f>J322+K322</f>
        <v>-208000</v>
      </c>
      <c r="J322" s="809">
        <v>0</v>
      </c>
      <c r="K322" s="809">
        <v>-208000</v>
      </c>
      <c r="L322" s="809">
        <f>M322+N322</f>
        <v>-2067331</v>
      </c>
      <c r="M322" s="809">
        <v>0</v>
      </c>
      <c r="N322" s="809">
        <v>-2067331</v>
      </c>
    </row>
    <row r="323" spans="1:14" s="721" customFormat="1" ht="14.85" customHeight="1">
      <c r="A323" s="1301"/>
      <c r="B323" s="1302"/>
      <c r="C323" s="1303"/>
      <c r="D323" s="1304"/>
      <c r="E323" s="841"/>
      <c r="F323" s="1341"/>
      <c r="G323" s="818" t="s">
        <v>23</v>
      </c>
      <c r="H323" s="779">
        <f>I323+L323</f>
        <v>28664081</v>
      </c>
      <c r="I323" s="780">
        <f>J323+K323</f>
        <v>11614081</v>
      </c>
      <c r="J323" s="780">
        <f>J321+J322</f>
        <v>0</v>
      </c>
      <c r="K323" s="780">
        <f>K321+K322</f>
        <v>11614081</v>
      </c>
      <c r="L323" s="780">
        <f>M323+N323</f>
        <v>17050000</v>
      </c>
      <c r="M323" s="780">
        <f>M321+M322</f>
        <v>0</v>
      </c>
      <c r="N323" s="780">
        <f>N321+N322</f>
        <v>17050000</v>
      </c>
    </row>
    <row r="324" spans="1:14" s="721" customFormat="1" ht="14.45" hidden="1" customHeight="1">
      <c r="A324" s="1278" t="s">
        <v>449</v>
      </c>
      <c r="B324" s="1279"/>
      <c r="C324" s="1280" t="s">
        <v>1102</v>
      </c>
      <c r="D324" s="1281"/>
      <c r="E324" s="845" t="s">
        <v>864</v>
      </c>
      <c r="F324" s="1339" t="s">
        <v>867</v>
      </c>
      <c r="G324" s="814" t="s">
        <v>21</v>
      </c>
      <c r="H324" s="779">
        <f t="shared" si="69"/>
        <v>3048783</v>
      </c>
      <c r="I324" s="780">
        <f t="shared" si="70"/>
        <v>3048783</v>
      </c>
      <c r="J324" s="780">
        <v>0</v>
      </c>
      <c r="K324" s="780">
        <v>3048783</v>
      </c>
      <c r="L324" s="780">
        <f t="shared" si="71"/>
        <v>0</v>
      </c>
      <c r="M324" s="780">
        <v>0</v>
      </c>
      <c r="N324" s="780">
        <v>0</v>
      </c>
    </row>
    <row r="325" spans="1:14" s="721" customFormat="1" ht="14.45" hidden="1" customHeight="1">
      <c r="A325" s="1282"/>
      <c r="B325" s="1292"/>
      <c r="C325" s="1284"/>
      <c r="D325" s="1292"/>
      <c r="E325" s="847"/>
      <c r="F325" s="1340"/>
      <c r="G325" s="814" t="s">
        <v>22</v>
      </c>
      <c r="H325" s="779">
        <f t="shared" si="69"/>
        <v>0</v>
      </c>
      <c r="I325" s="780">
        <f t="shared" si="70"/>
        <v>0</v>
      </c>
      <c r="J325" s="780">
        <v>0</v>
      </c>
      <c r="K325" s="780">
        <v>0</v>
      </c>
      <c r="L325" s="780">
        <f t="shared" si="71"/>
        <v>0</v>
      </c>
      <c r="M325" s="780">
        <v>0</v>
      </c>
      <c r="N325" s="780">
        <v>0</v>
      </c>
    </row>
    <row r="326" spans="1:14" s="721" customFormat="1" ht="14.45" hidden="1" customHeight="1">
      <c r="A326" s="1282"/>
      <c r="B326" s="1283"/>
      <c r="C326" s="1284"/>
      <c r="D326" s="1285"/>
      <c r="E326" s="840"/>
      <c r="F326" s="1341"/>
      <c r="G326" s="811" t="s">
        <v>23</v>
      </c>
      <c r="H326" s="808">
        <f t="shared" si="69"/>
        <v>3048783</v>
      </c>
      <c r="I326" s="809">
        <f t="shared" si="70"/>
        <v>3048783</v>
      </c>
      <c r="J326" s="809">
        <f>J324+J325</f>
        <v>0</v>
      </c>
      <c r="K326" s="809">
        <f>K324+K325</f>
        <v>3048783</v>
      </c>
      <c r="L326" s="809">
        <f t="shared" si="71"/>
        <v>0</v>
      </c>
      <c r="M326" s="809">
        <f>M324+M325</f>
        <v>0</v>
      </c>
      <c r="N326" s="809">
        <f>N324+N325</f>
        <v>0</v>
      </c>
    </row>
    <row r="327" spans="1:14" s="812" customFormat="1" ht="14.85" customHeight="1">
      <c r="A327" s="1337" t="s">
        <v>388</v>
      </c>
      <c r="B327" s="1338"/>
      <c r="C327" s="1252" t="s">
        <v>1103</v>
      </c>
      <c r="D327" s="1253"/>
      <c r="E327" s="839" t="s">
        <v>910</v>
      </c>
      <c r="F327" s="1339" t="s">
        <v>912</v>
      </c>
      <c r="G327" s="814" t="s">
        <v>21</v>
      </c>
      <c r="H327" s="779">
        <f>I327+L327</f>
        <v>60878</v>
      </c>
      <c r="I327" s="780">
        <f>J327+K327</f>
        <v>60878</v>
      </c>
      <c r="J327" s="780">
        <v>60878</v>
      </c>
      <c r="K327" s="780">
        <v>0</v>
      </c>
      <c r="L327" s="780">
        <f>M327+N327</f>
        <v>0</v>
      </c>
      <c r="M327" s="780">
        <v>0</v>
      </c>
      <c r="N327" s="780">
        <v>0</v>
      </c>
    </row>
    <row r="328" spans="1:14" s="812" customFormat="1" ht="14.25" customHeight="1">
      <c r="A328" s="1286"/>
      <c r="B328" s="1292"/>
      <c r="C328" s="1260"/>
      <c r="D328" s="1292"/>
      <c r="E328" s="840"/>
      <c r="F328" s="1340"/>
      <c r="G328" s="814" t="s">
        <v>22</v>
      </c>
      <c r="H328" s="779">
        <f>I328+L328</f>
        <v>-36790</v>
      </c>
      <c r="I328" s="780">
        <f>J328+K328</f>
        <v>-36790</v>
      </c>
      <c r="J328" s="780">
        <v>-36790</v>
      </c>
      <c r="K328" s="780">
        <v>0</v>
      </c>
      <c r="L328" s="780">
        <f>M328+N328</f>
        <v>0</v>
      </c>
      <c r="M328" s="780">
        <v>0</v>
      </c>
      <c r="N328" s="780">
        <v>0</v>
      </c>
    </row>
    <row r="329" spans="1:14" s="721" customFormat="1" ht="14.85" customHeight="1">
      <c r="A329" s="1282"/>
      <c r="B329" s="1283"/>
      <c r="C329" s="1303"/>
      <c r="D329" s="1304"/>
      <c r="E329" s="841"/>
      <c r="F329" s="1341"/>
      <c r="G329" s="818" t="s">
        <v>23</v>
      </c>
      <c r="H329" s="779">
        <f>I329+L329</f>
        <v>24088</v>
      </c>
      <c r="I329" s="780">
        <f>J329+K329</f>
        <v>24088</v>
      </c>
      <c r="J329" s="780">
        <f>J327+J328</f>
        <v>24088</v>
      </c>
      <c r="K329" s="780">
        <f>K327+K328</f>
        <v>0</v>
      </c>
      <c r="L329" s="780">
        <f>M329+N329</f>
        <v>0</v>
      </c>
      <c r="M329" s="780">
        <f>M327+M328</f>
        <v>0</v>
      </c>
      <c r="N329" s="780">
        <f>N327+N328</f>
        <v>0</v>
      </c>
    </row>
    <row r="330" spans="1:14" s="812" customFormat="1" ht="15" hidden="1" customHeight="1">
      <c r="A330" s="1286"/>
      <c r="B330" s="1287"/>
      <c r="C330" s="1260" t="s">
        <v>1104</v>
      </c>
      <c r="D330" s="1261"/>
      <c r="E330" s="840" t="s">
        <v>667</v>
      </c>
      <c r="F330" s="1340" t="s">
        <v>778</v>
      </c>
      <c r="G330" s="819" t="s">
        <v>21</v>
      </c>
      <c r="H330" s="820">
        <f t="shared" si="69"/>
        <v>0</v>
      </c>
      <c r="I330" s="821">
        <f t="shared" si="70"/>
        <v>0</v>
      </c>
      <c r="J330" s="821">
        <v>0</v>
      </c>
      <c r="K330" s="821">
        <v>0</v>
      </c>
      <c r="L330" s="821">
        <f t="shared" si="71"/>
        <v>0</v>
      </c>
      <c r="M330" s="821">
        <v>0</v>
      </c>
      <c r="N330" s="821">
        <v>0</v>
      </c>
    </row>
    <row r="331" spans="1:14" s="812" customFormat="1" ht="15" hidden="1" customHeight="1">
      <c r="A331" s="1286"/>
      <c r="B331" s="1292"/>
      <c r="C331" s="1260"/>
      <c r="D331" s="1292"/>
      <c r="E331" s="840"/>
      <c r="F331" s="1340"/>
      <c r="G331" s="814" t="s">
        <v>22</v>
      </c>
      <c r="H331" s="779">
        <f t="shared" si="69"/>
        <v>0</v>
      </c>
      <c r="I331" s="780">
        <f t="shared" si="70"/>
        <v>0</v>
      </c>
      <c r="J331" s="780">
        <v>0</v>
      </c>
      <c r="K331" s="780">
        <v>0</v>
      </c>
      <c r="L331" s="780">
        <f t="shared" si="71"/>
        <v>0</v>
      </c>
      <c r="M331" s="780">
        <v>0</v>
      </c>
      <c r="N331" s="780">
        <v>0</v>
      </c>
    </row>
    <row r="332" spans="1:14" s="721" customFormat="1" ht="15" hidden="1" customHeight="1">
      <c r="A332" s="1282"/>
      <c r="B332" s="1283"/>
      <c r="C332" s="1284"/>
      <c r="D332" s="1285"/>
      <c r="E332" s="840"/>
      <c r="F332" s="1340"/>
      <c r="G332" s="811" t="s">
        <v>23</v>
      </c>
      <c r="H332" s="808">
        <f t="shared" si="69"/>
        <v>0</v>
      </c>
      <c r="I332" s="809">
        <f t="shared" si="70"/>
        <v>0</v>
      </c>
      <c r="J332" s="809">
        <f>J330+J331</f>
        <v>0</v>
      </c>
      <c r="K332" s="809">
        <f>K330+K331</f>
        <v>0</v>
      </c>
      <c r="L332" s="809">
        <f t="shared" si="71"/>
        <v>0</v>
      </c>
      <c r="M332" s="809">
        <f>M330+M331</f>
        <v>0</v>
      </c>
      <c r="N332" s="809">
        <f>N330+N331</f>
        <v>0</v>
      </c>
    </row>
    <row r="333" spans="1:14" s="721" customFormat="1" ht="14.85" customHeight="1">
      <c r="A333" s="1282"/>
      <c r="B333" s="1283"/>
      <c r="C333" s="1280" t="s">
        <v>392</v>
      </c>
      <c r="D333" s="1281"/>
      <c r="E333" s="845" t="s">
        <v>919</v>
      </c>
      <c r="F333" s="1339" t="s">
        <v>921</v>
      </c>
      <c r="G333" s="814" t="s">
        <v>21</v>
      </c>
      <c r="H333" s="779">
        <f t="shared" si="69"/>
        <v>1032360</v>
      </c>
      <c r="I333" s="780">
        <f t="shared" si="70"/>
        <v>1032360</v>
      </c>
      <c r="J333" s="780">
        <v>1025231</v>
      </c>
      <c r="K333" s="780">
        <v>7129</v>
      </c>
      <c r="L333" s="780">
        <f t="shared" si="71"/>
        <v>0</v>
      </c>
      <c r="M333" s="780">
        <v>0</v>
      </c>
      <c r="N333" s="780">
        <v>0</v>
      </c>
    </row>
    <row r="334" spans="1:14" s="721" customFormat="1" ht="14.85" customHeight="1">
      <c r="A334" s="1282"/>
      <c r="B334" s="1292"/>
      <c r="C334" s="1284"/>
      <c r="D334" s="1292"/>
      <c r="E334" s="847"/>
      <c r="F334" s="1340"/>
      <c r="G334" s="814" t="s">
        <v>22</v>
      </c>
      <c r="H334" s="779">
        <f t="shared" si="69"/>
        <v>-400271</v>
      </c>
      <c r="I334" s="780">
        <f t="shared" si="70"/>
        <v>-400271</v>
      </c>
      <c r="J334" s="780">
        <v>-400271</v>
      </c>
      <c r="K334" s="780">
        <v>0</v>
      </c>
      <c r="L334" s="780">
        <f t="shared" si="71"/>
        <v>0</v>
      </c>
      <c r="M334" s="780">
        <v>0</v>
      </c>
      <c r="N334" s="780">
        <v>0</v>
      </c>
    </row>
    <row r="335" spans="1:14" s="721" customFormat="1" ht="14.85" customHeight="1">
      <c r="A335" s="1282"/>
      <c r="B335" s="1283"/>
      <c r="C335" s="1284"/>
      <c r="D335" s="1285"/>
      <c r="E335" s="840"/>
      <c r="F335" s="1341"/>
      <c r="G335" s="811" t="s">
        <v>23</v>
      </c>
      <c r="H335" s="808">
        <f t="shared" si="69"/>
        <v>632089</v>
      </c>
      <c r="I335" s="809">
        <f t="shared" si="70"/>
        <v>632089</v>
      </c>
      <c r="J335" s="809">
        <f>J333+J334</f>
        <v>624960</v>
      </c>
      <c r="K335" s="809">
        <f>K333+K334</f>
        <v>7129</v>
      </c>
      <c r="L335" s="809">
        <f t="shared" si="71"/>
        <v>0</v>
      </c>
      <c r="M335" s="809">
        <f>M333+M334</f>
        <v>0</v>
      </c>
      <c r="N335" s="809">
        <f>N333+N334</f>
        <v>0</v>
      </c>
    </row>
    <row r="336" spans="1:14" s="812" customFormat="1" ht="14.85" customHeight="1">
      <c r="A336" s="1286"/>
      <c r="B336" s="1287"/>
      <c r="C336" s="1260"/>
      <c r="D336" s="1261"/>
      <c r="E336" s="839" t="s">
        <v>926</v>
      </c>
      <c r="F336" s="1339" t="s">
        <v>927</v>
      </c>
      <c r="G336" s="814" t="s">
        <v>21</v>
      </c>
      <c r="H336" s="779">
        <f t="shared" si="69"/>
        <v>3275449</v>
      </c>
      <c r="I336" s="780">
        <f t="shared" si="70"/>
        <v>3275449</v>
      </c>
      <c r="J336" s="780">
        <v>3265686</v>
      </c>
      <c r="K336" s="780">
        <v>9763</v>
      </c>
      <c r="L336" s="780">
        <f t="shared" si="71"/>
        <v>0</v>
      </c>
      <c r="M336" s="780">
        <v>0</v>
      </c>
      <c r="N336" s="780">
        <v>0</v>
      </c>
    </row>
    <row r="337" spans="1:14" s="812" customFormat="1" ht="14.85" customHeight="1">
      <c r="A337" s="1286"/>
      <c r="B337" s="1292"/>
      <c r="C337" s="1260"/>
      <c r="D337" s="1292"/>
      <c r="E337" s="840"/>
      <c r="F337" s="1340"/>
      <c r="G337" s="814" t="s">
        <v>22</v>
      </c>
      <c r="H337" s="779">
        <f t="shared" si="69"/>
        <v>-2809163</v>
      </c>
      <c r="I337" s="780">
        <f t="shared" si="70"/>
        <v>-2809163</v>
      </c>
      <c r="J337" s="780">
        <f>-2976503+174595</f>
        <v>-2801908</v>
      </c>
      <c r="K337" s="780">
        <v>-7255</v>
      </c>
      <c r="L337" s="780">
        <f t="shared" si="71"/>
        <v>0</v>
      </c>
      <c r="M337" s="780">
        <v>0</v>
      </c>
      <c r="N337" s="780">
        <v>0</v>
      </c>
    </row>
    <row r="338" spans="1:14" s="721" customFormat="1" ht="14.85" customHeight="1">
      <c r="A338" s="1282"/>
      <c r="B338" s="1283"/>
      <c r="C338" s="1284"/>
      <c r="D338" s="1285"/>
      <c r="E338" s="840"/>
      <c r="F338" s="1341"/>
      <c r="G338" s="811" t="s">
        <v>23</v>
      </c>
      <c r="H338" s="808">
        <f t="shared" si="69"/>
        <v>466286</v>
      </c>
      <c r="I338" s="809">
        <f t="shared" si="70"/>
        <v>466286</v>
      </c>
      <c r="J338" s="809">
        <f>J336+J337</f>
        <v>463778</v>
      </c>
      <c r="K338" s="809">
        <f>K336+K337</f>
        <v>2508</v>
      </c>
      <c r="L338" s="809">
        <f t="shared" si="71"/>
        <v>0</v>
      </c>
      <c r="M338" s="809">
        <f>M336+M337</f>
        <v>0</v>
      </c>
      <c r="N338" s="809">
        <f>N336+N337</f>
        <v>0</v>
      </c>
    </row>
    <row r="339" spans="1:14" s="812" customFormat="1" ht="14.45" customHeight="1">
      <c r="A339" s="1286"/>
      <c r="B339" s="1287"/>
      <c r="C339" s="1260"/>
      <c r="D339" s="1261"/>
      <c r="E339" s="839" t="s">
        <v>928</v>
      </c>
      <c r="F339" s="1339" t="s">
        <v>930</v>
      </c>
      <c r="G339" s="814" t="s">
        <v>21</v>
      </c>
      <c r="H339" s="779">
        <f>I339+L339</f>
        <v>524539</v>
      </c>
      <c r="I339" s="780">
        <f>J339+K339</f>
        <v>524539</v>
      </c>
      <c r="J339" s="780">
        <v>524539</v>
      </c>
      <c r="K339" s="780">
        <v>0</v>
      </c>
      <c r="L339" s="780">
        <f>M339+N339</f>
        <v>0</v>
      </c>
      <c r="M339" s="780">
        <v>0</v>
      </c>
      <c r="N339" s="780">
        <v>0</v>
      </c>
    </row>
    <row r="340" spans="1:14" s="812" customFormat="1" ht="14.45" customHeight="1">
      <c r="A340" s="1286"/>
      <c r="B340" s="1292"/>
      <c r="C340" s="1260"/>
      <c r="D340" s="1292"/>
      <c r="E340" s="840"/>
      <c r="F340" s="1340"/>
      <c r="G340" s="814" t="s">
        <v>22</v>
      </c>
      <c r="H340" s="779">
        <f>I340+L340</f>
        <v>-21434</v>
      </c>
      <c r="I340" s="780">
        <f>J340+K340</f>
        <v>-21434</v>
      </c>
      <c r="J340" s="780">
        <v>-21434</v>
      </c>
      <c r="K340" s="780">
        <v>0</v>
      </c>
      <c r="L340" s="780">
        <f>M340+N340</f>
        <v>0</v>
      </c>
      <c r="M340" s="780">
        <v>0</v>
      </c>
      <c r="N340" s="780">
        <v>0</v>
      </c>
    </row>
    <row r="341" spans="1:14" s="721" customFormat="1" ht="14.45" customHeight="1">
      <c r="A341" s="1301"/>
      <c r="B341" s="1302"/>
      <c r="C341" s="1303"/>
      <c r="D341" s="1304"/>
      <c r="E341" s="841"/>
      <c r="F341" s="1341"/>
      <c r="G341" s="818" t="s">
        <v>23</v>
      </c>
      <c r="H341" s="779">
        <f>I341+L341</f>
        <v>503105</v>
      </c>
      <c r="I341" s="780">
        <f>J341+K341</f>
        <v>503105</v>
      </c>
      <c r="J341" s="780">
        <f>J339+J340</f>
        <v>503105</v>
      </c>
      <c r="K341" s="780">
        <f>K339+K340</f>
        <v>0</v>
      </c>
      <c r="L341" s="780">
        <f>M341+N341</f>
        <v>0</v>
      </c>
      <c r="M341" s="780">
        <f>M339+M340</f>
        <v>0</v>
      </c>
      <c r="N341" s="780">
        <f>N339+N340</f>
        <v>0</v>
      </c>
    </row>
    <row r="342" spans="1:14" s="721" customFormat="1" ht="15" hidden="1" customHeight="1">
      <c r="A342" s="1278" t="s">
        <v>300</v>
      </c>
      <c r="B342" s="1279"/>
      <c r="C342" s="1280" t="s">
        <v>315</v>
      </c>
      <c r="D342" s="1281"/>
      <c r="E342" s="851" t="s">
        <v>805</v>
      </c>
      <c r="F342" s="1339" t="s">
        <v>1105</v>
      </c>
      <c r="G342" s="852" t="s">
        <v>21</v>
      </c>
      <c r="H342" s="779">
        <f t="shared" ref="H342:H347" si="72">I342+L342</f>
        <v>25039</v>
      </c>
      <c r="I342" s="780">
        <f t="shared" ref="I342:I347" si="73">J342+K342</f>
        <v>25039</v>
      </c>
      <c r="J342" s="780">
        <v>25039</v>
      </c>
      <c r="K342" s="780">
        <v>0</v>
      </c>
      <c r="L342" s="780">
        <f t="shared" ref="L342:L347" si="74">M342+N342</f>
        <v>0</v>
      </c>
      <c r="M342" s="780">
        <v>0</v>
      </c>
      <c r="N342" s="780">
        <v>0</v>
      </c>
    </row>
    <row r="343" spans="1:14" s="721" customFormat="1" ht="15" hidden="1" customHeight="1">
      <c r="A343" s="1282"/>
      <c r="B343" s="1354"/>
      <c r="C343" s="1284"/>
      <c r="D343" s="1354"/>
      <c r="E343" s="853"/>
      <c r="F343" s="1340"/>
      <c r="G343" s="852" t="s">
        <v>22</v>
      </c>
      <c r="H343" s="779">
        <f t="shared" si="72"/>
        <v>0</v>
      </c>
      <c r="I343" s="780">
        <f t="shared" si="73"/>
        <v>0</v>
      </c>
      <c r="J343" s="780">
        <v>0</v>
      </c>
      <c r="K343" s="780">
        <v>0</v>
      </c>
      <c r="L343" s="780">
        <f t="shared" si="74"/>
        <v>0</v>
      </c>
      <c r="M343" s="780">
        <v>0</v>
      </c>
      <c r="N343" s="780">
        <v>0</v>
      </c>
    </row>
    <row r="344" spans="1:14" s="721" customFormat="1" ht="15" hidden="1" customHeight="1">
      <c r="A344" s="1282"/>
      <c r="B344" s="1283"/>
      <c r="C344" s="1284"/>
      <c r="D344" s="1285"/>
      <c r="E344" s="853"/>
      <c r="F344" s="1341"/>
      <c r="G344" s="852" t="s">
        <v>23</v>
      </c>
      <c r="H344" s="808">
        <f t="shared" si="72"/>
        <v>25039</v>
      </c>
      <c r="I344" s="809">
        <f t="shared" si="73"/>
        <v>25039</v>
      </c>
      <c r="J344" s="809">
        <f>J342+J343</f>
        <v>25039</v>
      </c>
      <c r="K344" s="809">
        <f>K342+K343</f>
        <v>0</v>
      </c>
      <c r="L344" s="809">
        <f t="shared" si="74"/>
        <v>0</v>
      </c>
      <c r="M344" s="809">
        <f>M342+M343</f>
        <v>0</v>
      </c>
      <c r="N344" s="809">
        <f>N342+N343</f>
        <v>0</v>
      </c>
    </row>
    <row r="345" spans="1:14" s="721" customFormat="1" ht="15" hidden="1" customHeight="1">
      <c r="A345" s="1282"/>
      <c r="B345" s="1283"/>
      <c r="C345" s="1284"/>
      <c r="D345" s="1285"/>
      <c r="E345" s="813"/>
      <c r="F345" s="1339" t="s">
        <v>1106</v>
      </c>
      <c r="G345" s="852" t="s">
        <v>21</v>
      </c>
      <c r="H345" s="779">
        <f t="shared" si="72"/>
        <v>26592</v>
      </c>
      <c r="I345" s="780">
        <f t="shared" si="73"/>
        <v>26592</v>
      </c>
      <c r="J345" s="780">
        <v>26592</v>
      </c>
      <c r="K345" s="780">
        <v>0</v>
      </c>
      <c r="L345" s="780">
        <f t="shared" si="74"/>
        <v>0</v>
      </c>
      <c r="M345" s="780">
        <v>0</v>
      </c>
      <c r="N345" s="780">
        <v>0</v>
      </c>
    </row>
    <row r="346" spans="1:14" s="721" customFormat="1" ht="15" hidden="1" customHeight="1">
      <c r="A346" s="1282"/>
      <c r="B346" s="1354"/>
      <c r="C346" s="1284"/>
      <c r="D346" s="1354"/>
      <c r="E346" s="853"/>
      <c r="F346" s="1355"/>
      <c r="G346" s="852" t="s">
        <v>22</v>
      </c>
      <c r="H346" s="779">
        <f t="shared" si="72"/>
        <v>0</v>
      </c>
      <c r="I346" s="780">
        <f t="shared" si="73"/>
        <v>0</v>
      </c>
      <c r="J346" s="780">
        <v>0</v>
      </c>
      <c r="K346" s="780">
        <v>0</v>
      </c>
      <c r="L346" s="780">
        <f t="shared" si="74"/>
        <v>0</v>
      </c>
      <c r="M346" s="780">
        <v>0</v>
      </c>
      <c r="N346" s="780">
        <v>0</v>
      </c>
    </row>
    <row r="347" spans="1:14" s="721" customFormat="1" ht="15" hidden="1" customHeight="1">
      <c r="A347" s="1282"/>
      <c r="B347" s="1283"/>
      <c r="C347" s="1284"/>
      <c r="D347" s="1285"/>
      <c r="E347" s="854"/>
      <c r="F347" s="1356"/>
      <c r="G347" s="852" t="s">
        <v>23</v>
      </c>
      <c r="H347" s="808">
        <f t="shared" si="72"/>
        <v>26592</v>
      </c>
      <c r="I347" s="809">
        <f t="shared" si="73"/>
        <v>26592</v>
      </c>
      <c r="J347" s="809">
        <f>J345+J346</f>
        <v>26592</v>
      </c>
      <c r="K347" s="809">
        <f>K345+K346</f>
        <v>0</v>
      </c>
      <c r="L347" s="809">
        <f t="shared" si="74"/>
        <v>0</v>
      </c>
      <c r="M347" s="809">
        <f>M345+M346</f>
        <v>0</v>
      </c>
      <c r="N347" s="809">
        <f>N345+N346</f>
        <v>0</v>
      </c>
    </row>
    <row r="348" spans="1:14" s="812" customFormat="1" ht="15" hidden="1" customHeight="1">
      <c r="A348" s="1286"/>
      <c r="B348" s="1287"/>
      <c r="C348" s="1252" t="s">
        <v>1107</v>
      </c>
      <c r="D348" s="1253"/>
      <c r="E348" s="855" t="s">
        <v>781</v>
      </c>
      <c r="F348" s="1339" t="s">
        <v>789</v>
      </c>
      <c r="G348" s="814" t="s">
        <v>21</v>
      </c>
      <c r="H348" s="779">
        <f t="shared" si="69"/>
        <v>4545970</v>
      </c>
      <c r="I348" s="780">
        <f t="shared" si="70"/>
        <v>0</v>
      </c>
      <c r="J348" s="780">
        <v>0</v>
      </c>
      <c r="K348" s="780">
        <v>0</v>
      </c>
      <c r="L348" s="780">
        <f t="shared" si="71"/>
        <v>4545970</v>
      </c>
      <c r="M348" s="780">
        <v>0</v>
      </c>
      <c r="N348" s="780">
        <v>4545970</v>
      </c>
    </row>
    <row r="349" spans="1:14" s="812" customFormat="1" ht="15" hidden="1" customHeight="1">
      <c r="A349" s="1286"/>
      <c r="B349" s="1292"/>
      <c r="C349" s="1260"/>
      <c r="D349" s="1292"/>
      <c r="E349" s="856"/>
      <c r="F349" s="1340"/>
      <c r="G349" s="814" t="s">
        <v>22</v>
      </c>
      <c r="H349" s="779">
        <f t="shared" si="69"/>
        <v>0</v>
      </c>
      <c r="I349" s="780">
        <f t="shared" si="70"/>
        <v>0</v>
      </c>
      <c r="J349" s="780">
        <v>0</v>
      </c>
      <c r="K349" s="780">
        <v>0</v>
      </c>
      <c r="L349" s="780">
        <f t="shared" si="71"/>
        <v>0</v>
      </c>
      <c r="M349" s="780">
        <v>0</v>
      </c>
      <c r="N349" s="780">
        <v>0</v>
      </c>
    </row>
    <row r="350" spans="1:14" s="721" customFormat="1" ht="15" hidden="1" customHeight="1">
      <c r="A350" s="1282"/>
      <c r="B350" s="1283"/>
      <c r="C350" s="1284"/>
      <c r="D350" s="1285"/>
      <c r="E350" s="840"/>
      <c r="F350" s="1341"/>
      <c r="G350" s="811" t="s">
        <v>23</v>
      </c>
      <c r="H350" s="808">
        <f t="shared" si="69"/>
        <v>4545970</v>
      </c>
      <c r="I350" s="809">
        <f t="shared" si="70"/>
        <v>0</v>
      </c>
      <c r="J350" s="809">
        <f>J348+J349</f>
        <v>0</v>
      </c>
      <c r="K350" s="809">
        <f>K348+K349</f>
        <v>0</v>
      </c>
      <c r="L350" s="809">
        <f t="shared" si="71"/>
        <v>4545970</v>
      </c>
      <c r="M350" s="809">
        <f>M348+M349</f>
        <v>0</v>
      </c>
      <c r="N350" s="809">
        <f>N348+N349</f>
        <v>4545970</v>
      </c>
    </row>
    <row r="351" spans="1:14" s="812" customFormat="1" ht="14.45" customHeight="1">
      <c r="A351" s="1337" t="s">
        <v>300</v>
      </c>
      <c r="B351" s="1338"/>
      <c r="C351" s="1252" t="s">
        <v>1107</v>
      </c>
      <c r="D351" s="1253"/>
      <c r="E351" s="855" t="s">
        <v>781</v>
      </c>
      <c r="F351" s="1339" t="s">
        <v>792</v>
      </c>
      <c r="G351" s="814" t="s">
        <v>21</v>
      </c>
      <c r="H351" s="779">
        <f>I351+L351</f>
        <v>5490163</v>
      </c>
      <c r="I351" s="780">
        <f>J351+K351</f>
        <v>0</v>
      </c>
      <c r="J351" s="780">
        <v>0</v>
      </c>
      <c r="K351" s="780">
        <v>0</v>
      </c>
      <c r="L351" s="780">
        <f>M351+N351</f>
        <v>5490163</v>
      </c>
      <c r="M351" s="780">
        <v>0</v>
      </c>
      <c r="N351" s="780">
        <v>5490163</v>
      </c>
    </row>
    <row r="352" spans="1:14" s="812" customFormat="1" ht="14.45" customHeight="1">
      <c r="A352" s="1286"/>
      <c r="B352" s="1292"/>
      <c r="C352" s="1260"/>
      <c r="D352" s="1292"/>
      <c r="E352" s="856"/>
      <c r="F352" s="1340"/>
      <c r="G352" s="814" t="s">
        <v>22</v>
      </c>
      <c r="H352" s="779">
        <f>I352+L352</f>
        <v>-470648</v>
      </c>
      <c r="I352" s="780">
        <f>J352+K352</f>
        <v>0</v>
      </c>
      <c r="J352" s="780">
        <v>0</v>
      </c>
      <c r="K352" s="780">
        <v>0</v>
      </c>
      <c r="L352" s="780">
        <f>M352+N352</f>
        <v>-470648</v>
      </c>
      <c r="M352" s="780">
        <v>0</v>
      </c>
      <c r="N352" s="780">
        <v>-470648</v>
      </c>
    </row>
    <row r="353" spans="1:14" s="721" customFormat="1" ht="14.45" customHeight="1">
      <c r="A353" s="1282"/>
      <c r="B353" s="1283"/>
      <c r="C353" s="1303"/>
      <c r="D353" s="1304"/>
      <c r="E353" s="841"/>
      <c r="F353" s="1341"/>
      <c r="G353" s="818" t="s">
        <v>23</v>
      </c>
      <c r="H353" s="779">
        <f>I353+L353</f>
        <v>5019515</v>
      </c>
      <c r="I353" s="780">
        <f>J353+K353</f>
        <v>0</v>
      </c>
      <c r="J353" s="780">
        <f>J351+J352</f>
        <v>0</v>
      </c>
      <c r="K353" s="780">
        <f>K351+K352</f>
        <v>0</v>
      </c>
      <c r="L353" s="780">
        <f>M353+N353</f>
        <v>5019515</v>
      </c>
      <c r="M353" s="780">
        <f>M351+M352</f>
        <v>0</v>
      </c>
      <c r="N353" s="780">
        <f>N351+N352</f>
        <v>5019515</v>
      </c>
    </row>
    <row r="354" spans="1:14" s="812" customFormat="1" ht="15" hidden="1" customHeight="1">
      <c r="A354" s="1286"/>
      <c r="B354" s="1287"/>
      <c r="C354" s="1260" t="s">
        <v>331</v>
      </c>
      <c r="D354" s="1261"/>
      <c r="E354" s="840" t="s">
        <v>781</v>
      </c>
      <c r="F354" s="1357" t="s">
        <v>783</v>
      </c>
      <c r="G354" s="857" t="s">
        <v>21</v>
      </c>
      <c r="H354" s="820">
        <f t="shared" si="69"/>
        <v>220022</v>
      </c>
      <c r="I354" s="821">
        <f t="shared" si="70"/>
        <v>0</v>
      </c>
      <c r="J354" s="821">
        <v>0</v>
      </c>
      <c r="K354" s="821">
        <v>0</v>
      </c>
      <c r="L354" s="821">
        <f t="shared" si="71"/>
        <v>220022</v>
      </c>
      <c r="M354" s="821">
        <v>0</v>
      </c>
      <c r="N354" s="821">
        <v>220022</v>
      </c>
    </row>
    <row r="355" spans="1:14" s="812" customFormat="1" ht="15" hidden="1" customHeight="1">
      <c r="A355" s="1359"/>
      <c r="B355" s="1360"/>
      <c r="C355" s="1361"/>
      <c r="D355" s="1360"/>
      <c r="E355" s="840"/>
      <c r="F355" s="1358"/>
      <c r="G355" s="858" t="s">
        <v>22</v>
      </c>
      <c r="H355" s="779">
        <f t="shared" si="69"/>
        <v>0</v>
      </c>
      <c r="I355" s="780">
        <f t="shared" si="70"/>
        <v>0</v>
      </c>
      <c r="J355" s="780">
        <v>0</v>
      </c>
      <c r="K355" s="780">
        <v>0</v>
      </c>
      <c r="L355" s="780">
        <f t="shared" si="71"/>
        <v>0</v>
      </c>
      <c r="M355" s="780">
        <v>0</v>
      </c>
      <c r="N355" s="780">
        <v>0</v>
      </c>
    </row>
    <row r="356" spans="1:14" s="721" customFormat="1" ht="15" hidden="1" customHeight="1">
      <c r="A356" s="1282"/>
      <c r="B356" s="1354"/>
      <c r="C356" s="1284"/>
      <c r="D356" s="1354"/>
      <c r="E356" s="847"/>
      <c r="F356" s="1358"/>
      <c r="G356" s="845" t="s">
        <v>23</v>
      </c>
      <c r="H356" s="808">
        <f t="shared" si="69"/>
        <v>220022</v>
      </c>
      <c r="I356" s="809">
        <f t="shared" si="70"/>
        <v>0</v>
      </c>
      <c r="J356" s="809">
        <f>J354+J355</f>
        <v>0</v>
      </c>
      <c r="K356" s="809">
        <f>K354+K355</f>
        <v>0</v>
      </c>
      <c r="L356" s="809">
        <f t="shared" si="71"/>
        <v>220022</v>
      </c>
      <c r="M356" s="809">
        <f>M354+M355</f>
        <v>0</v>
      </c>
      <c r="N356" s="809">
        <f>N354+N355</f>
        <v>220022</v>
      </c>
    </row>
    <row r="357" spans="1:14" s="812" customFormat="1" ht="15" customHeight="1">
      <c r="A357" s="1286"/>
      <c r="B357" s="1287"/>
      <c r="C357" s="1252" t="s">
        <v>331</v>
      </c>
      <c r="D357" s="1253"/>
      <c r="E357" s="839" t="s">
        <v>781</v>
      </c>
      <c r="F357" s="1362" t="s">
        <v>785</v>
      </c>
      <c r="G357" s="858" t="s">
        <v>21</v>
      </c>
      <c r="H357" s="779">
        <f t="shared" si="69"/>
        <v>406698</v>
      </c>
      <c r="I357" s="780">
        <f t="shared" si="70"/>
        <v>406698</v>
      </c>
      <c r="J357" s="780">
        <v>0</v>
      </c>
      <c r="K357" s="780">
        <v>406698</v>
      </c>
      <c r="L357" s="780">
        <f t="shared" si="71"/>
        <v>0</v>
      </c>
      <c r="M357" s="780">
        <v>0</v>
      </c>
      <c r="N357" s="780">
        <v>0</v>
      </c>
    </row>
    <row r="358" spans="1:14" s="812" customFormat="1" ht="15" customHeight="1">
      <c r="A358" s="1359"/>
      <c r="B358" s="1360"/>
      <c r="C358" s="1361"/>
      <c r="D358" s="1360"/>
      <c r="E358" s="840"/>
      <c r="F358" s="1358"/>
      <c r="G358" s="858" t="s">
        <v>22</v>
      </c>
      <c r="H358" s="779">
        <f t="shared" si="69"/>
        <v>-263140</v>
      </c>
      <c r="I358" s="780">
        <f t="shared" si="70"/>
        <v>-263140</v>
      </c>
      <c r="J358" s="780">
        <v>0</v>
      </c>
      <c r="K358" s="780">
        <v>-263140</v>
      </c>
      <c r="L358" s="780">
        <f t="shared" si="71"/>
        <v>0</v>
      </c>
      <c r="M358" s="780">
        <v>0</v>
      </c>
      <c r="N358" s="780">
        <v>0</v>
      </c>
    </row>
    <row r="359" spans="1:14" s="721" customFormat="1" ht="15" customHeight="1">
      <c r="A359" s="1282"/>
      <c r="B359" s="1354"/>
      <c r="C359" s="1284"/>
      <c r="D359" s="1354"/>
      <c r="E359" s="847"/>
      <c r="F359" s="1363"/>
      <c r="G359" s="845" t="s">
        <v>23</v>
      </c>
      <c r="H359" s="808">
        <f t="shared" si="69"/>
        <v>143558</v>
      </c>
      <c r="I359" s="809">
        <f t="shared" si="70"/>
        <v>143558</v>
      </c>
      <c r="J359" s="809">
        <f>J357+J358</f>
        <v>0</v>
      </c>
      <c r="K359" s="809">
        <f>K357+K358</f>
        <v>143558</v>
      </c>
      <c r="L359" s="809">
        <f t="shared" si="71"/>
        <v>0</v>
      </c>
      <c r="M359" s="809">
        <f>M357+M358</f>
        <v>0</v>
      </c>
      <c r="N359" s="809">
        <f>N357+N358</f>
        <v>0</v>
      </c>
    </row>
    <row r="360" spans="1:14" s="812" customFormat="1" ht="15" customHeight="1">
      <c r="A360" s="1286"/>
      <c r="B360" s="1287"/>
      <c r="C360" s="1260"/>
      <c r="D360" s="1261"/>
      <c r="E360" s="840"/>
      <c r="F360" s="1362" t="s">
        <v>786</v>
      </c>
      <c r="G360" s="858" t="s">
        <v>21</v>
      </c>
      <c r="H360" s="779">
        <f t="shared" si="69"/>
        <v>3876074</v>
      </c>
      <c r="I360" s="780">
        <f t="shared" si="70"/>
        <v>1064072</v>
      </c>
      <c r="J360" s="780">
        <v>0</v>
      </c>
      <c r="K360" s="780">
        <v>1064072</v>
      </c>
      <c r="L360" s="780">
        <f t="shared" si="71"/>
        <v>2812002</v>
      </c>
      <c r="M360" s="780">
        <v>0</v>
      </c>
      <c r="N360" s="780">
        <v>2812002</v>
      </c>
    </row>
    <row r="361" spans="1:14" s="812" customFormat="1" ht="15" customHeight="1">
      <c r="A361" s="1359"/>
      <c r="B361" s="1360"/>
      <c r="C361" s="1361"/>
      <c r="D361" s="1360"/>
      <c r="E361" s="840"/>
      <c r="F361" s="1358"/>
      <c r="G361" s="858" t="s">
        <v>22</v>
      </c>
      <c r="H361" s="779">
        <f t="shared" si="69"/>
        <v>-604389</v>
      </c>
      <c r="I361" s="780">
        <f t="shared" si="70"/>
        <v>-399739</v>
      </c>
      <c r="J361" s="780">
        <v>0</v>
      </c>
      <c r="K361" s="780">
        <v>-399739</v>
      </c>
      <c r="L361" s="780">
        <f t="shared" si="71"/>
        <v>-204650</v>
      </c>
      <c r="M361" s="780">
        <v>0</v>
      </c>
      <c r="N361" s="780">
        <v>-204650</v>
      </c>
    </row>
    <row r="362" spans="1:14" s="721" customFormat="1" ht="15" customHeight="1">
      <c r="A362" s="1282"/>
      <c r="B362" s="1354"/>
      <c r="C362" s="1284"/>
      <c r="D362" s="1354"/>
      <c r="E362" s="847"/>
      <c r="F362" s="1363"/>
      <c r="G362" s="845" t="s">
        <v>23</v>
      </c>
      <c r="H362" s="808">
        <f t="shared" si="69"/>
        <v>3271685</v>
      </c>
      <c r="I362" s="809">
        <f t="shared" si="70"/>
        <v>664333</v>
      </c>
      <c r="J362" s="809">
        <f>J360+J361</f>
        <v>0</v>
      </c>
      <c r="K362" s="809">
        <f>K360+K361</f>
        <v>664333</v>
      </c>
      <c r="L362" s="809">
        <f t="shared" si="71"/>
        <v>2607352</v>
      </c>
      <c r="M362" s="809">
        <f>M360+M361</f>
        <v>0</v>
      </c>
      <c r="N362" s="809">
        <f>N360+N361</f>
        <v>2607352</v>
      </c>
    </row>
    <row r="363" spans="1:14" s="802" customFormat="1" ht="3.75" customHeight="1">
      <c r="A363" s="796"/>
      <c r="B363" s="797"/>
      <c r="C363" s="797"/>
      <c r="D363" s="797"/>
      <c r="E363" s="797"/>
      <c r="F363" s="797"/>
      <c r="G363" s="798"/>
      <c r="H363" s="799"/>
      <c r="I363" s="800"/>
      <c r="J363" s="800"/>
      <c r="K363" s="800"/>
      <c r="L363" s="800"/>
      <c r="M363" s="800"/>
      <c r="N363" s="801"/>
    </row>
    <row r="364" spans="1:14" s="834" customFormat="1" ht="14.25" hidden="1" customHeight="1">
      <c r="A364" s="1331" t="s">
        <v>1108</v>
      </c>
      <c r="B364" s="1332"/>
      <c r="C364" s="1332"/>
      <c r="D364" s="1332"/>
      <c r="E364" s="1332"/>
      <c r="F364" s="1364"/>
      <c r="G364" s="859" t="s">
        <v>21</v>
      </c>
      <c r="H364" s="832">
        <f>I364+L364</f>
        <v>41203401</v>
      </c>
      <c r="I364" s="833">
        <f>J364+K364</f>
        <v>35916432</v>
      </c>
      <c r="J364" s="833">
        <f t="shared" ref="J364:K366" si="75">J368+J371+J374</f>
        <v>0</v>
      </c>
      <c r="K364" s="833">
        <f t="shared" si="75"/>
        <v>35916432</v>
      </c>
      <c r="L364" s="833">
        <f>M364+N364</f>
        <v>5286969</v>
      </c>
      <c r="M364" s="833">
        <f t="shared" ref="M364:N366" si="76">M368+M371+M374</f>
        <v>0</v>
      </c>
      <c r="N364" s="833">
        <f t="shared" si="76"/>
        <v>5286969</v>
      </c>
    </row>
    <row r="365" spans="1:14" s="834" customFormat="1" ht="14.25" hidden="1" customHeight="1">
      <c r="A365" s="1333"/>
      <c r="B365" s="1334"/>
      <c r="C365" s="1334"/>
      <c r="D365" s="1334"/>
      <c r="E365" s="1334"/>
      <c r="F365" s="1365"/>
      <c r="G365" s="859" t="s">
        <v>22</v>
      </c>
      <c r="H365" s="832">
        <f>I365+L365</f>
        <v>0</v>
      </c>
      <c r="I365" s="833">
        <f>J365+K365</f>
        <v>0</v>
      </c>
      <c r="J365" s="833">
        <f t="shared" si="75"/>
        <v>0</v>
      </c>
      <c r="K365" s="833">
        <f t="shared" si="75"/>
        <v>0</v>
      </c>
      <c r="L365" s="833">
        <f>M365+N365</f>
        <v>0</v>
      </c>
      <c r="M365" s="833">
        <f t="shared" si="76"/>
        <v>0</v>
      </c>
      <c r="N365" s="833">
        <f t="shared" si="76"/>
        <v>0</v>
      </c>
    </row>
    <row r="366" spans="1:14" s="834" customFormat="1" ht="14.25" hidden="1" customHeight="1">
      <c r="A366" s="1335"/>
      <c r="B366" s="1336"/>
      <c r="C366" s="1336"/>
      <c r="D366" s="1336"/>
      <c r="E366" s="1336"/>
      <c r="F366" s="1366"/>
      <c r="G366" s="859" t="s">
        <v>23</v>
      </c>
      <c r="H366" s="832">
        <f>I366+L366</f>
        <v>41203401</v>
      </c>
      <c r="I366" s="833">
        <f>J366+K366</f>
        <v>35916432</v>
      </c>
      <c r="J366" s="833">
        <f t="shared" si="75"/>
        <v>0</v>
      </c>
      <c r="K366" s="833">
        <f t="shared" si="75"/>
        <v>35916432</v>
      </c>
      <c r="L366" s="833">
        <f>M366+N366</f>
        <v>5286969</v>
      </c>
      <c r="M366" s="833">
        <f t="shared" si="76"/>
        <v>0</v>
      </c>
      <c r="N366" s="833">
        <f t="shared" si="76"/>
        <v>5286969</v>
      </c>
    </row>
    <row r="367" spans="1:14" s="802" customFormat="1" ht="3" hidden="1" customHeight="1">
      <c r="A367" s="836"/>
      <c r="B367" s="797"/>
      <c r="C367" s="797"/>
      <c r="D367" s="797"/>
      <c r="E367" s="797"/>
      <c r="F367" s="797"/>
      <c r="G367" s="798"/>
      <c r="H367" s="799"/>
      <c r="I367" s="800"/>
      <c r="J367" s="800"/>
      <c r="K367" s="800"/>
      <c r="L367" s="800"/>
      <c r="M367" s="800"/>
      <c r="N367" s="801"/>
    </row>
    <row r="368" spans="1:14" s="721" customFormat="1" ht="14.25" hidden="1" customHeight="1">
      <c r="A368" s="1278" t="s">
        <v>282</v>
      </c>
      <c r="B368" s="1279"/>
      <c r="C368" s="1280" t="s">
        <v>1099</v>
      </c>
      <c r="D368" s="1281"/>
      <c r="E368" s="845" t="s">
        <v>1109</v>
      </c>
      <c r="F368" s="1339" t="s">
        <v>994</v>
      </c>
      <c r="G368" s="814" t="s">
        <v>21</v>
      </c>
      <c r="H368" s="808">
        <f t="shared" ref="H368:H373" si="77">I368+L368</f>
        <v>19100780</v>
      </c>
      <c r="I368" s="809">
        <f t="shared" ref="I368:I373" si="78">J368+K368</f>
        <v>19100780</v>
      </c>
      <c r="J368" s="809">
        <v>0</v>
      </c>
      <c r="K368" s="809">
        <v>19100780</v>
      </c>
      <c r="L368" s="809">
        <f t="shared" ref="L368:L373" si="79">M368+N368</f>
        <v>0</v>
      </c>
      <c r="M368" s="809">
        <v>0</v>
      </c>
      <c r="N368" s="809">
        <v>0</v>
      </c>
    </row>
    <row r="369" spans="1:14" s="721" customFormat="1" ht="14.25" hidden="1" customHeight="1">
      <c r="A369" s="1282"/>
      <c r="B369" s="1292"/>
      <c r="C369" s="1284"/>
      <c r="D369" s="1292"/>
      <c r="E369" s="847"/>
      <c r="F369" s="1340"/>
      <c r="G369" s="814" t="s">
        <v>22</v>
      </c>
      <c r="H369" s="808">
        <f t="shared" si="77"/>
        <v>0</v>
      </c>
      <c r="I369" s="809">
        <f t="shared" si="78"/>
        <v>0</v>
      </c>
      <c r="J369" s="809">
        <v>0</v>
      </c>
      <c r="K369" s="809">
        <v>0</v>
      </c>
      <c r="L369" s="809">
        <f t="shared" si="79"/>
        <v>0</v>
      </c>
      <c r="M369" s="809">
        <v>0</v>
      </c>
      <c r="N369" s="809">
        <v>0</v>
      </c>
    </row>
    <row r="370" spans="1:14" s="721" customFormat="1" ht="14.25" hidden="1" customHeight="1">
      <c r="A370" s="1301"/>
      <c r="B370" s="1302"/>
      <c r="C370" s="1303"/>
      <c r="D370" s="1304"/>
      <c r="E370" s="841"/>
      <c r="F370" s="1341"/>
      <c r="G370" s="818" t="s">
        <v>23</v>
      </c>
      <c r="H370" s="779">
        <f t="shared" si="77"/>
        <v>19100780</v>
      </c>
      <c r="I370" s="780">
        <f t="shared" si="78"/>
        <v>19100780</v>
      </c>
      <c r="J370" s="780">
        <f>J368+J369</f>
        <v>0</v>
      </c>
      <c r="K370" s="780">
        <f>K368+K369</f>
        <v>19100780</v>
      </c>
      <c r="L370" s="780">
        <f t="shared" si="79"/>
        <v>0</v>
      </c>
      <c r="M370" s="780">
        <f>M368+M369</f>
        <v>0</v>
      </c>
      <c r="N370" s="780">
        <f>N368+N369</f>
        <v>0</v>
      </c>
    </row>
    <row r="371" spans="1:14" s="721" customFormat="1" ht="15" hidden="1" customHeight="1">
      <c r="A371" s="1278" t="s">
        <v>286</v>
      </c>
      <c r="B371" s="1367"/>
      <c r="C371" s="1280" t="s">
        <v>287</v>
      </c>
      <c r="D371" s="1281"/>
      <c r="E371" s="845" t="s">
        <v>643</v>
      </c>
      <c r="F371" s="1339" t="s">
        <v>1110</v>
      </c>
      <c r="G371" s="814" t="s">
        <v>21</v>
      </c>
      <c r="H371" s="808">
        <f t="shared" si="77"/>
        <v>3228000</v>
      </c>
      <c r="I371" s="809">
        <f t="shared" si="78"/>
        <v>592633</v>
      </c>
      <c r="J371" s="809">
        <v>0</v>
      </c>
      <c r="K371" s="809">
        <v>592633</v>
      </c>
      <c r="L371" s="809">
        <f t="shared" si="79"/>
        <v>2635367</v>
      </c>
      <c r="M371" s="809">
        <v>0</v>
      </c>
      <c r="N371" s="809">
        <v>2635367</v>
      </c>
    </row>
    <row r="372" spans="1:14" s="721" customFormat="1" ht="15" hidden="1" customHeight="1">
      <c r="A372" s="1282"/>
      <c r="B372" s="1292"/>
      <c r="C372" s="1284"/>
      <c r="D372" s="1292"/>
      <c r="E372" s="847"/>
      <c r="F372" s="1340"/>
      <c r="G372" s="814" t="s">
        <v>22</v>
      </c>
      <c r="H372" s="808">
        <f t="shared" si="77"/>
        <v>0</v>
      </c>
      <c r="I372" s="809">
        <f t="shared" si="78"/>
        <v>0</v>
      </c>
      <c r="J372" s="809">
        <v>0</v>
      </c>
      <c r="K372" s="809">
        <v>0</v>
      </c>
      <c r="L372" s="809">
        <f t="shared" si="79"/>
        <v>0</v>
      </c>
      <c r="M372" s="809">
        <v>0</v>
      </c>
      <c r="N372" s="809">
        <v>0</v>
      </c>
    </row>
    <row r="373" spans="1:14" s="721" customFormat="1" ht="15" hidden="1" customHeight="1">
      <c r="A373" s="1282"/>
      <c r="B373" s="1283"/>
      <c r="C373" s="1303"/>
      <c r="D373" s="1304"/>
      <c r="E373" s="841"/>
      <c r="F373" s="1341"/>
      <c r="G373" s="818" t="s">
        <v>23</v>
      </c>
      <c r="H373" s="779">
        <f t="shared" si="77"/>
        <v>3228000</v>
      </c>
      <c r="I373" s="780">
        <f t="shared" si="78"/>
        <v>592633</v>
      </c>
      <c r="J373" s="780">
        <f>J371+J372</f>
        <v>0</v>
      </c>
      <c r="K373" s="780">
        <f>K371+K372</f>
        <v>592633</v>
      </c>
      <c r="L373" s="780">
        <f t="shared" si="79"/>
        <v>2635367</v>
      </c>
      <c r="M373" s="780">
        <f>M371+M372</f>
        <v>0</v>
      </c>
      <c r="N373" s="780">
        <f>N371+N372</f>
        <v>2635367</v>
      </c>
    </row>
    <row r="374" spans="1:14" s="721" customFormat="1" ht="14.25" hidden="1" customHeight="1">
      <c r="A374" s="1282"/>
      <c r="B374" s="1283"/>
      <c r="C374" s="1284" t="s">
        <v>1101</v>
      </c>
      <c r="D374" s="1285"/>
      <c r="E374" s="847" t="s">
        <v>1111</v>
      </c>
      <c r="F374" s="1340" t="s">
        <v>1000</v>
      </c>
      <c r="G374" s="819" t="s">
        <v>21</v>
      </c>
      <c r="H374" s="849">
        <f>I374+L374</f>
        <v>18874621</v>
      </c>
      <c r="I374" s="850">
        <f>J374+K374</f>
        <v>16223019</v>
      </c>
      <c r="J374" s="850">
        <v>0</v>
      </c>
      <c r="K374" s="850">
        <v>16223019</v>
      </c>
      <c r="L374" s="850">
        <f>M374+N374</f>
        <v>2651602</v>
      </c>
      <c r="M374" s="850">
        <v>0</v>
      </c>
      <c r="N374" s="850">
        <v>2651602</v>
      </c>
    </row>
    <row r="375" spans="1:14" s="721" customFormat="1" ht="14.25" hidden="1" customHeight="1">
      <c r="A375" s="1282"/>
      <c r="B375" s="1292"/>
      <c r="C375" s="1284"/>
      <c r="D375" s="1292"/>
      <c r="E375" s="847"/>
      <c r="F375" s="1340"/>
      <c r="G375" s="814" t="s">
        <v>22</v>
      </c>
      <c r="H375" s="808">
        <f>I375+L375</f>
        <v>0</v>
      </c>
      <c r="I375" s="809">
        <f>J375+K375</f>
        <v>0</v>
      </c>
      <c r="J375" s="809">
        <v>0</v>
      </c>
      <c r="K375" s="809">
        <v>0</v>
      </c>
      <c r="L375" s="809">
        <f>M375+N375</f>
        <v>0</v>
      </c>
      <c r="M375" s="809">
        <v>0</v>
      </c>
      <c r="N375" s="809">
        <v>0</v>
      </c>
    </row>
    <row r="376" spans="1:14" s="721" customFormat="1" ht="14.25" hidden="1" customHeight="1">
      <c r="A376" s="1301"/>
      <c r="B376" s="1302"/>
      <c r="C376" s="1303"/>
      <c r="D376" s="1304"/>
      <c r="E376" s="841"/>
      <c r="F376" s="1341"/>
      <c r="G376" s="818" t="s">
        <v>23</v>
      </c>
      <c r="H376" s="779">
        <f>I376+L376</f>
        <v>18874621</v>
      </c>
      <c r="I376" s="780">
        <f>J376+K376</f>
        <v>16223019</v>
      </c>
      <c r="J376" s="780">
        <f>J374+J375</f>
        <v>0</v>
      </c>
      <c r="K376" s="780">
        <f>K374+K375</f>
        <v>16223019</v>
      </c>
      <c r="L376" s="780">
        <f>M376+N376</f>
        <v>2651602</v>
      </c>
      <c r="M376" s="780">
        <f>M374+M375</f>
        <v>0</v>
      </c>
      <c r="N376" s="780">
        <f>N374+N375</f>
        <v>2651602</v>
      </c>
    </row>
    <row r="377" spans="1:14" s="802" customFormat="1" ht="3" hidden="1" customHeight="1">
      <c r="A377" s="796"/>
      <c r="B377" s="797"/>
      <c r="C377" s="797"/>
      <c r="D377" s="797"/>
      <c r="E377" s="797"/>
      <c r="F377" s="797"/>
      <c r="G377" s="798"/>
      <c r="H377" s="799"/>
      <c r="I377" s="800"/>
      <c r="J377" s="800"/>
      <c r="K377" s="800"/>
      <c r="L377" s="800"/>
      <c r="M377" s="800"/>
      <c r="N377" s="801"/>
    </row>
    <row r="378" spans="1:14" s="834" customFormat="1" ht="15" hidden="1" customHeight="1">
      <c r="A378" s="1331" t="s">
        <v>1112</v>
      </c>
      <c r="B378" s="1332"/>
      <c r="C378" s="1332"/>
      <c r="D378" s="1332"/>
      <c r="E378" s="1332"/>
      <c r="F378" s="1364"/>
      <c r="G378" s="859" t="s">
        <v>21</v>
      </c>
      <c r="H378" s="832">
        <f>I378+L378</f>
        <v>580000</v>
      </c>
      <c r="I378" s="833">
        <f>J378+K378</f>
        <v>100000</v>
      </c>
      <c r="J378" s="833">
        <f t="shared" ref="J378:K380" si="80">J382</f>
        <v>0</v>
      </c>
      <c r="K378" s="833">
        <f t="shared" si="80"/>
        <v>100000</v>
      </c>
      <c r="L378" s="833">
        <f>M378+N378</f>
        <v>480000</v>
      </c>
      <c r="M378" s="833">
        <f t="shared" ref="M378:N380" si="81">M382</f>
        <v>0</v>
      </c>
      <c r="N378" s="833">
        <f t="shared" si="81"/>
        <v>480000</v>
      </c>
    </row>
    <row r="379" spans="1:14" s="834" customFormat="1" ht="15" hidden="1" customHeight="1">
      <c r="A379" s="1333"/>
      <c r="B379" s="1334"/>
      <c r="C379" s="1334"/>
      <c r="D379" s="1334"/>
      <c r="E379" s="1334"/>
      <c r="F379" s="1365"/>
      <c r="G379" s="859" t="s">
        <v>22</v>
      </c>
      <c r="H379" s="832">
        <f>I379+L379</f>
        <v>0</v>
      </c>
      <c r="I379" s="833">
        <f>J379+K379</f>
        <v>0</v>
      </c>
      <c r="J379" s="833">
        <f t="shared" si="80"/>
        <v>0</v>
      </c>
      <c r="K379" s="833">
        <f t="shared" si="80"/>
        <v>0</v>
      </c>
      <c r="L379" s="833">
        <f>M379+N379</f>
        <v>0</v>
      </c>
      <c r="M379" s="833">
        <f t="shared" si="81"/>
        <v>0</v>
      </c>
      <c r="N379" s="833">
        <f t="shared" si="81"/>
        <v>0</v>
      </c>
    </row>
    <row r="380" spans="1:14" s="834" customFormat="1" ht="15" hidden="1" customHeight="1">
      <c r="A380" s="1335"/>
      <c r="B380" s="1336"/>
      <c r="C380" s="1336"/>
      <c r="D380" s="1336"/>
      <c r="E380" s="1336"/>
      <c r="F380" s="1366"/>
      <c r="G380" s="859" t="s">
        <v>23</v>
      </c>
      <c r="H380" s="832">
        <f>I380+L380</f>
        <v>580000</v>
      </c>
      <c r="I380" s="833">
        <f>J380+K380</f>
        <v>100000</v>
      </c>
      <c r="J380" s="833">
        <f t="shared" si="80"/>
        <v>0</v>
      </c>
      <c r="K380" s="833">
        <f t="shared" si="80"/>
        <v>100000</v>
      </c>
      <c r="L380" s="833">
        <f>M380+N380</f>
        <v>480000</v>
      </c>
      <c r="M380" s="833">
        <f t="shared" si="81"/>
        <v>0</v>
      </c>
      <c r="N380" s="833">
        <f t="shared" si="81"/>
        <v>480000</v>
      </c>
    </row>
    <row r="381" spans="1:14" s="802" customFormat="1" ht="5.25" hidden="1" customHeight="1">
      <c r="A381" s="836"/>
      <c r="B381" s="797"/>
      <c r="C381" s="797"/>
      <c r="D381" s="797"/>
      <c r="E381" s="797"/>
      <c r="F381" s="797"/>
      <c r="G381" s="798"/>
      <c r="H381" s="799"/>
      <c r="I381" s="800"/>
      <c r="J381" s="800"/>
      <c r="K381" s="800"/>
      <c r="L381" s="800"/>
      <c r="M381" s="800"/>
      <c r="N381" s="801"/>
    </row>
    <row r="382" spans="1:14" s="812" customFormat="1" ht="15" hidden="1" customHeight="1">
      <c r="A382" s="1337" t="s">
        <v>24</v>
      </c>
      <c r="B382" s="1338"/>
      <c r="C382" s="1252" t="s">
        <v>32</v>
      </c>
      <c r="D382" s="1253"/>
      <c r="E382" s="1254" t="s">
        <v>1113</v>
      </c>
      <c r="F382" s="1255"/>
      <c r="G382" s="860" t="s">
        <v>21</v>
      </c>
      <c r="H382" s="808">
        <f>I382+L382</f>
        <v>580000</v>
      </c>
      <c r="I382" s="809">
        <f>J382+K382</f>
        <v>100000</v>
      </c>
      <c r="J382" s="809">
        <v>0</v>
      </c>
      <c r="K382" s="809">
        <v>100000</v>
      </c>
      <c r="L382" s="809">
        <f>M382+N382</f>
        <v>480000</v>
      </c>
      <c r="M382" s="809">
        <v>0</v>
      </c>
      <c r="N382" s="809">
        <v>480000</v>
      </c>
    </row>
    <row r="383" spans="1:14" s="812" customFormat="1" ht="15" hidden="1" customHeight="1">
      <c r="A383" s="1286"/>
      <c r="B383" s="1292"/>
      <c r="C383" s="1260"/>
      <c r="D383" s="1292"/>
      <c r="E383" s="1288"/>
      <c r="F383" s="1289"/>
      <c r="G383" s="860" t="s">
        <v>22</v>
      </c>
      <c r="H383" s="808">
        <f>I383+L383</f>
        <v>0</v>
      </c>
      <c r="I383" s="809">
        <f>J383+K383</f>
        <v>0</v>
      </c>
      <c r="J383" s="809">
        <v>0</v>
      </c>
      <c r="K383" s="809">
        <v>0</v>
      </c>
      <c r="L383" s="809">
        <f>M383+N383</f>
        <v>0</v>
      </c>
      <c r="M383" s="809">
        <v>0</v>
      </c>
      <c r="N383" s="809">
        <v>0</v>
      </c>
    </row>
    <row r="384" spans="1:14" s="721" customFormat="1" ht="15" hidden="1" customHeight="1">
      <c r="A384" s="1282"/>
      <c r="B384" s="1283"/>
      <c r="C384" s="1284"/>
      <c r="D384" s="1285"/>
      <c r="E384" s="1290"/>
      <c r="F384" s="1291"/>
      <c r="G384" s="811" t="s">
        <v>23</v>
      </c>
      <c r="H384" s="808">
        <f>I384+L384</f>
        <v>580000</v>
      </c>
      <c r="I384" s="809">
        <f>J384+K384</f>
        <v>100000</v>
      </c>
      <c r="J384" s="809">
        <f>J382+J383</f>
        <v>0</v>
      </c>
      <c r="K384" s="809">
        <f>K382+K383</f>
        <v>100000</v>
      </c>
      <c r="L384" s="809">
        <f>M384+N384</f>
        <v>480000</v>
      </c>
      <c r="M384" s="809">
        <f>M382+M383</f>
        <v>0</v>
      </c>
      <c r="N384" s="809">
        <f>N382+N383</f>
        <v>480000</v>
      </c>
    </row>
    <row r="385" spans="1:14" s="802" customFormat="1" ht="3.95" hidden="1" customHeight="1">
      <c r="A385" s="796"/>
      <c r="B385" s="797"/>
      <c r="C385" s="797"/>
      <c r="D385" s="797"/>
      <c r="E385" s="797"/>
      <c r="F385" s="797"/>
      <c r="G385" s="798"/>
      <c r="H385" s="799"/>
      <c r="I385" s="800"/>
      <c r="J385" s="800"/>
      <c r="K385" s="800"/>
      <c r="L385" s="800"/>
      <c r="M385" s="800"/>
      <c r="N385" s="801"/>
    </row>
    <row r="386" spans="1:14" s="834" customFormat="1" ht="15" customHeight="1">
      <c r="A386" s="1265" t="s">
        <v>1114</v>
      </c>
      <c r="B386" s="1266"/>
      <c r="C386" s="1266"/>
      <c r="D386" s="1266"/>
      <c r="E386" s="1266"/>
      <c r="F386" s="1267"/>
      <c r="G386" s="861" t="s">
        <v>21</v>
      </c>
      <c r="H386" s="792">
        <f>I386+L386</f>
        <v>99677596</v>
      </c>
      <c r="I386" s="792">
        <f>J386+K386</f>
        <v>54271105</v>
      </c>
      <c r="J386" s="792">
        <f t="shared" ref="J386:K388" si="82">J390+J393+J396+J399+J402+J405+J408+J411+J414+J417+J420+J423+J426+J429+J432+J435+J438+J441+J444+J447+J450+J453+J456+J459+J462+J465+J468+J471+J474+J477+J480+J483+J486+J489+J492+J495+J498+J501+J504+J507+J510+J513+J516+J519+J522+J525+J528+J531+J534+J537+J540+J543+J546+J549+J552+J555+J558+J561+J564+J567+J570+J573+J576+J579+J582+J585+J588+J591+J594+J597+J600+J603+J606+J609+J612+J615+J618+J621+J624+J627+J630+J633+J636+J639+J642+J645+J648+J651+J654+J657+J660+J663+J666+J669+J672+J675+J678+J681+J684+J687+J690+J693+J696+J699+J702+J705+J708+J711+J714+J717+J720+J723+J726+J729+J732+J735+J738+J741</f>
        <v>41901192</v>
      </c>
      <c r="K386" s="792">
        <f t="shared" si="82"/>
        <v>12369913</v>
      </c>
      <c r="L386" s="792">
        <f>M386+N386</f>
        <v>45406491</v>
      </c>
      <c r="M386" s="792">
        <f t="shared" ref="M386:N388" si="83">M390+M393+M396+M399+M402+M405+M408+M411+M414+M417+M420+M423+M426+M429+M432+M435+M438+M441+M444+M447+M450+M453+M456+M459+M462+M465+M468+M471+M474+M477+M480+M483+M486+M489+M492+M495+M498+M501+M504+M507+M510+M513+M516+M519+M522+M525+M528+M531+M534+M537+M540+M543+M546+M549+M552+M555+M558+M561+M564+M567+M570+M573+M576+M579+M582+M585+M588+M591+M594+M597+M600+M603+M606+M609+M612+M615+M618+M621+M624+M627+M630+M633+M636+M639+M642+M645+M648+M651+M654+M657+M660+M663+M666+M669+M672+M675+M678+M681+M684+M687+M690+M693+M696+M699+M702+M705+M708+M711+M714+M717+M720+M723+M726+M729+M732+M735+M738+M741</f>
        <v>116000</v>
      </c>
      <c r="N386" s="792">
        <f t="shared" si="83"/>
        <v>45290491</v>
      </c>
    </row>
    <row r="387" spans="1:14" s="834" customFormat="1" ht="15" customHeight="1">
      <c r="A387" s="1368"/>
      <c r="B387" s="1369"/>
      <c r="C387" s="1369"/>
      <c r="D387" s="1369"/>
      <c r="E387" s="1369"/>
      <c r="F387" s="1370"/>
      <c r="G387" s="861" t="s">
        <v>22</v>
      </c>
      <c r="H387" s="792">
        <f>I387+L387</f>
        <v>1629928</v>
      </c>
      <c r="I387" s="792">
        <f>J387+K387</f>
        <v>2008529</v>
      </c>
      <c r="J387" s="792">
        <f t="shared" si="82"/>
        <v>2584014</v>
      </c>
      <c r="K387" s="792">
        <f t="shared" si="82"/>
        <v>-575485</v>
      </c>
      <c r="L387" s="792">
        <f>M387+N387</f>
        <v>-378601</v>
      </c>
      <c r="M387" s="792">
        <f t="shared" si="83"/>
        <v>0</v>
      </c>
      <c r="N387" s="792">
        <f t="shared" si="83"/>
        <v>-378601</v>
      </c>
    </row>
    <row r="388" spans="1:14" s="834" customFormat="1" ht="15" customHeight="1">
      <c r="A388" s="1371"/>
      <c r="B388" s="1372"/>
      <c r="C388" s="1372"/>
      <c r="D388" s="1372"/>
      <c r="E388" s="1372"/>
      <c r="F388" s="1373"/>
      <c r="G388" s="861" t="s">
        <v>23</v>
      </c>
      <c r="H388" s="792">
        <f>I388+L388</f>
        <v>101307524</v>
      </c>
      <c r="I388" s="792">
        <f>J388+K388</f>
        <v>56279634</v>
      </c>
      <c r="J388" s="792">
        <f t="shared" si="82"/>
        <v>44485206</v>
      </c>
      <c r="K388" s="792">
        <f t="shared" si="82"/>
        <v>11794428</v>
      </c>
      <c r="L388" s="792">
        <f>M388+N388</f>
        <v>45027890</v>
      </c>
      <c r="M388" s="792">
        <f t="shared" si="83"/>
        <v>116000</v>
      </c>
      <c r="N388" s="792">
        <f t="shared" si="83"/>
        <v>44911890</v>
      </c>
    </row>
    <row r="389" spans="1:14" s="802" customFormat="1" ht="3" customHeight="1">
      <c r="A389" s="796"/>
      <c r="B389" s="797"/>
      <c r="C389" s="797"/>
      <c r="D389" s="797"/>
      <c r="E389" s="797"/>
      <c r="F389" s="797"/>
      <c r="G389" s="798"/>
      <c r="H389" s="799"/>
      <c r="I389" s="800"/>
      <c r="J389" s="800"/>
      <c r="K389" s="800"/>
      <c r="L389" s="800"/>
      <c r="M389" s="800"/>
      <c r="N389" s="801"/>
    </row>
    <row r="390" spans="1:14" s="812" customFormat="1" ht="15" hidden="1" customHeight="1">
      <c r="A390" s="1337" t="s">
        <v>24</v>
      </c>
      <c r="B390" s="1338"/>
      <c r="C390" s="1252" t="s">
        <v>30</v>
      </c>
      <c r="D390" s="1253"/>
      <c r="E390" s="1254" t="s">
        <v>1115</v>
      </c>
      <c r="F390" s="1255"/>
      <c r="G390" s="860" t="s">
        <v>21</v>
      </c>
      <c r="H390" s="808">
        <f t="shared" ref="H390:H486" si="84">I390+L390</f>
        <v>1300000</v>
      </c>
      <c r="I390" s="809">
        <f t="shared" ref="I390:I486" si="85">J390+K390</f>
        <v>0</v>
      </c>
      <c r="J390" s="809">
        <v>0</v>
      </c>
      <c r="K390" s="809">
        <v>0</v>
      </c>
      <c r="L390" s="809">
        <f t="shared" ref="L390:L486" si="86">M390+N390</f>
        <v>1300000</v>
      </c>
      <c r="M390" s="809">
        <v>0</v>
      </c>
      <c r="N390" s="809">
        <v>1300000</v>
      </c>
    </row>
    <row r="391" spans="1:14" s="812" customFormat="1" ht="15" hidden="1" customHeight="1">
      <c r="A391" s="1286"/>
      <c r="B391" s="1292"/>
      <c r="C391" s="1260"/>
      <c r="D391" s="1292"/>
      <c r="E391" s="1288"/>
      <c r="F391" s="1289"/>
      <c r="G391" s="860" t="s">
        <v>22</v>
      </c>
      <c r="H391" s="808">
        <f t="shared" si="84"/>
        <v>0</v>
      </c>
      <c r="I391" s="809">
        <f t="shared" si="85"/>
        <v>0</v>
      </c>
      <c r="J391" s="809">
        <v>0</v>
      </c>
      <c r="K391" s="809">
        <v>0</v>
      </c>
      <c r="L391" s="809">
        <f t="shared" si="86"/>
        <v>0</v>
      </c>
      <c r="M391" s="809">
        <v>0</v>
      </c>
      <c r="N391" s="809">
        <v>0</v>
      </c>
    </row>
    <row r="392" spans="1:14" s="721" customFormat="1" ht="15" hidden="1" customHeight="1">
      <c r="A392" s="1282"/>
      <c r="B392" s="1283"/>
      <c r="C392" s="1284"/>
      <c r="D392" s="1285"/>
      <c r="E392" s="1290"/>
      <c r="F392" s="1291"/>
      <c r="G392" s="811" t="s">
        <v>23</v>
      </c>
      <c r="H392" s="808">
        <f t="shared" si="84"/>
        <v>1300000</v>
      </c>
      <c r="I392" s="809">
        <f t="shared" si="85"/>
        <v>0</v>
      </c>
      <c r="J392" s="809">
        <f>J390+J391</f>
        <v>0</v>
      </c>
      <c r="K392" s="809">
        <f>K390+K391</f>
        <v>0</v>
      </c>
      <c r="L392" s="809">
        <f t="shared" si="86"/>
        <v>1300000</v>
      </c>
      <c r="M392" s="809">
        <f>M390+M391</f>
        <v>0</v>
      </c>
      <c r="N392" s="809">
        <f>N390+N391</f>
        <v>1300000</v>
      </c>
    </row>
    <row r="393" spans="1:14" s="721" customFormat="1" ht="14.1" hidden="1" customHeight="1">
      <c r="A393" s="1282"/>
      <c r="B393" s="1283"/>
      <c r="C393" s="1280" t="s">
        <v>34</v>
      </c>
      <c r="D393" s="1281"/>
      <c r="E393" s="1254" t="s">
        <v>1116</v>
      </c>
      <c r="F393" s="1255"/>
      <c r="G393" s="860" t="s">
        <v>21</v>
      </c>
      <c r="H393" s="808">
        <f t="shared" si="84"/>
        <v>6000000</v>
      </c>
      <c r="I393" s="809">
        <f t="shared" si="85"/>
        <v>5984000</v>
      </c>
      <c r="J393" s="809">
        <v>5984000</v>
      </c>
      <c r="K393" s="809">
        <v>0</v>
      </c>
      <c r="L393" s="809">
        <f t="shared" si="86"/>
        <v>16000</v>
      </c>
      <c r="M393" s="809">
        <v>16000</v>
      </c>
      <c r="N393" s="809">
        <v>0</v>
      </c>
    </row>
    <row r="394" spans="1:14" s="721" customFormat="1" ht="14.1" hidden="1" customHeight="1">
      <c r="A394" s="1282"/>
      <c r="B394" s="1292"/>
      <c r="C394" s="1284"/>
      <c r="D394" s="1292"/>
      <c r="E394" s="1288"/>
      <c r="F394" s="1289"/>
      <c r="G394" s="860" t="s">
        <v>22</v>
      </c>
      <c r="H394" s="808">
        <f t="shared" si="84"/>
        <v>0</v>
      </c>
      <c r="I394" s="809">
        <f t="shared" si="85"/>
        <v>0</v>
      </c>
      <c r="J394" s="809">
        <v>0</v>
      </c>
      <c r="K394" s="809">
        <v>0</v>
      </c>
      <c r="L394" s="809">
        <f t="shared" si="86"/>
        <v>0</v>
      </c>
      <c r="M394" s="809">
        <v>0</v>
      </c>
      <c r="N394" s="809">
        <v>0</v>
      </c>
    </row>
    <row r="395" spans="1:14" s="721" customFormat="1" ht="14.1" hidden="1" customHeight="1">
      <c r="A395" s="1282"/>
      <c r="B395" s="1283"/>
      <c r="C395" s="1284"/>
      <c r="D395" s="1285"/>
      <c r="E395" s="1290"/>
      <c r="F395" s="1291"/>
      <c r="G395" s="811" t="s">
        <v>23</v>
      </c>
      <c r="H395" s="808">
        <f t="shared" si="84"/>
        <v>6000000</v>
      </c>
      <c r="I395" s="809">
        <f t="shared" si="85"/>
        <v>5984000</v>
      </c>
      <c r="J395" s="809">
        <f>J393+J394</f>
        <v>5984000</v>
      </c>
      <c r="K395" s="809">
        <f>K393+K394</f>
        <v>0</v>
      </c>
      <c r="L395" s="809">
        <f t="shared" si="86"/>
        <v>16000</v>
      </c>
      <c r="M395" s="809">
        <f>M393+M394</f>
        <v>16000</v>
      </c>
      <c r="N395" s="809">
        <f>N393+N394</f>
        <v>0</v>
      </c>
    </row>
    <row r="396" spans="1:14" s="721" customFormat="1" ht="15" hidden="1" customHeight="1">
      <c r="A396" s="1282"/>
      <c r="B396" s="1283"/>
      <c r="C396" s="1280" t="s">
        <v>36</v>
      </c>
      <c r="D396" s="1281"/>
      <c r="E396" s="1254" t="s">
        <v>1117</v>
      </c>
      <c r="F396" s="1255"/>
      <c r="G396" s="860" t="s">
        <v>21</v>
      </c>
      <c r="H396" s="779">
        <f t="shared" si="84"/>
        <v>50000</v>
      </c>
      <c r="I396" s="780">
        <f t="shared" si="85"/>
        <v>50000</v>
      </c>
      <c r="J396" s="780">
        <v>0</v>
      </c>
      <c r="K396" s="780">
        <v>50000</v>
      </c>
      <c r="L396" s="780">
        <f t="shared" si="86"/>
        <v>0</v>
      </c>
      <c r="M396" s="780">
        <v>0</v>
      </c>
      <c r="N396" s="780">
        <v>0</v>
      </c>
    </row>
    <row r="397" spans="1:14" s="721" customFormat="1" ht="15" hidden="1" customHeight="1">
      <c r="A397" s="1282"/>
      <c r="B397" s="1292"/>
      <c r="C397" s="1284"/>
      <c r="D397" s="1292"/>
      <c r="E397" s="1288"/>
      <c r="F397" s="1289"/>
      <c r="G397" s="860" t="s">
        <v>22</v>
      </c>
      <c r="H397" s="779">
        <f t="shared" si="84"/>
        <v>0</v>
      </c>
      <c r="I397" s="780">
        <f t="shared" si="85"/>
        <v>0</v>
      </c>
      <c r="J397" s="780">
        <v>0</v>
      </c>
      <c r="K397" s="780">
        <v>0</v>
      </c>
      <c r="L397" s="780">
        <f t="shared" si="86"/>
        <v>0</v>
      </c>
      <c r="M397" s="780">
        <v>0</v>
      </c>
      <c r="N397" s="780">
        <v>0</v>
      </c>
    </row>
    <row r="398" spans="1:14" s="721" customFormat="1" ht="15" hidden="1" customHeight="1">
      <c r="A398" s="1282"/>
      <c r="B398" s="1283"/>
      <c r="C398" s="1284"/>
      <c r="D398" s="1285"/>
      <c r="E398" s="1290"/>
      <c r="F398" s="1291"/>
      <c r="G398" s="811" t="s">
        <v>23</v>
      </c>
      <c r="H398" s="808">
        <f t="shared" si="84"/>
        <v>50000</v>
      </c>
      <c r="I398" s="809">
        <f t="shared" si="85"/>
        <v>50000</v>
      </c>
      <c r="J398" s="809">
        <f>J396+J397</f>
        <v>0</v>
      </c>
      <c r="K398" s="809">
        <f>K396+K397</f>
        <v>50000</v>
      </c>
      <c r="L398" s="809">
        <f t="shared" si="86"/>
        <v>0</v>
      </c>
      <c r="M398" s="809">
        <f>M396+M397</f>
        <v>0</v>
      </c>
      <c r="N398" s="809">
        <f>N396+N397</f>
        <v>0</v>
      </c>
    </row>
    <row r="399" spans="1:14" s="812" customFormat="1" ht="17.100000000000001" hidden="1" customHeight="1">
      <c r="A399" s="1337" t="s">
        <v>45</v>
      </c>
      <c r="B399" s="1338"/>
      <c r="C399" s="1252" t="s">
        <v>47</v>
      </c>
      <c r="D399" s="1253"/>
      <c r="E399" s="1254" t="s">
        <v>1118</v>
      </c>
      <c r="F399" s="1255"/>
      <c r="G399" s="860" t="s">
        <v>21</v>
      </c>
      <c r="H399" s="779">
        <f t="shared" si="84"/>
        <v>3062707</v>
      </c>
      <c r="I399" s="780">
        <f t="shared" si="85"/>
        <v>3062707</v>
      </c>
      <c r="J399" s="780">
        <v>0</v>
      </c>
      <c r="K399" s="780">
        <v>3062707</v>
      </c>
      <c r="L399" s="780">
        <f t="shared" si="86"/>
        <v>0</v>
      </c>
      <c r="M399" s="780">
        <v>0</v>
      </c>
      <c r="N399" s="780">
        <v>0</v>
      </c>
    </row>
    <row r="400" spans="1:14" s="812" customFormat="1" ht="17.100000000000001" hidden="1" customHeight="1">
      <c r="A400" s="1286"/>
      <c r="B400" s="1292"/>
      <c r="C400" s="1260"/>
      <c r="D400" s="1292"/>
      <c r="E400" s="1288"/>
      <c r="F400" s="1289"/>
      <c r="G400" s="860" t="s">
        <v>22</v>
      </c>
      <c r="H400" s="779">
        <f t="shared" si="84"/>
        <v>0</v>
      </c>
      <c r="I400" s="780">
        <f t="shared" si="85"/>
        <v>0</v>
      </c>
      <c r="J400" s="780">
        <v>0</v>
      </c>
      <c r="K400" s="780">
        <v>0</v>
      </c>
      <c r="L400" s="780">
        <f t="shared" si="86"/>
        <v>0</v>
      </c>
      <c r="M400" s="780">
        <v>0</v>
      </c>
      <c r="N400" s="780">
        <v>0</v>
      </c>
    </row>
    <row r="401" spans="1:14" s="721" customFormat="1" ht="17.100000000000001" hidden="1" customHeight="1">
      <c r="A401" s="1282"/>
      <c r="B401" s="1283"/>
      <c r="C401" s="1284"/>
      <c r="D401" s="1285"/>
      <c r="E401" s="1290"/>
      <c r="F401" s="1291"/>
      <c r="G401" s="811" t="s">
        <v>23</v>
      </c>
      <c r="H401" s="808">
        <f t="shared" si="84"/>
        <v>3062707</v>
      </c>
      <c r="I401" s="809">
        <f t="shared" si="85"/>
        <v>3062707</v>
      </c>
      <c r="J401" s="809">
        <f>J399+J400</f>
        <v>0</v>
      </c>
      <c r="K401" s="809">
        <f>K399+K400</f>
        <v>3062707</v>
      </c>
      <c r="L401" s="809">
        <f t="shared" si="86"/>
        <v>0</v>
      </c>
      <c r="M401" s="809">
        <f>M399+M400</f>
        <v>0</v>
      </c>
      <c r="N401" s="809">
        <f>N399+N400</f>
        <v>0</v>
      </c>
    </row>
    <row r="402" spans="1:14" s="721" customFormat="1" ht="15" hidden="1" customHeight="1">
      <c r="A402" s="1278" t="s">
        <v>56</v>
      </c>
      <c r="B402" s="1279"/>
      <c r="C402" s="1280" t="s">
        <v>58</v>
      </c>
      <c r="D402" s="1281"/>
      <c r="E402" s="1254" t="s">
        <v>1119</v>
      </c>
      <c r="F402" s="1255"/>
      <c r="G402" s="860" t="s">
        <v>21</v>
      </c>
      <c r="H402" s="779">
        <f t="shared" si="84"/>
        <v>1300000</v>
      </c>
      <c r="I402" s="780">
        <f t="shared" si="85"/>
        <v>1300000</v>
      </c>
      <c r="J402" s="780">
        <v>0</v>
      </c>
      <c r="K402" s="780">
        <v>1300000</v>
      </c>
      <c r="L402" s="780">
        <f t="shared" si="86"/>
        <v>0</v>
      </c>
      <c r="M402" s="780">
        <v>0</v>
      </c>
      <c r="N402" s="780">
        <v>0</v>
      </c>
    </row>
    <row r="403" spans="1:14" s="721" customFormat="1" ht="15" hidden="1" customHeight="1">
      <c r="A403" s="1282"/>
      <c r="B403" s="1292"/>
      <c r="C403" s="1284"/>
      <c r="D403" s="1292"/>
      <c r="E403" s="1288"/>
      <c r="F403" s="1289"/>
      <c r="G403" s="860" t="s">
        <v>22</v>
      </c>
      <c r="H403" s="779">
        <f t="shared" si="84"/>
        <v>0</v>
      </c>
      <c r="I403" s="780">
        <f t="shared" si="85"/>
        <v>0</v>
      </c>
      <c r="J403" s="780">
        <v>0</v>
      </c>
      <c r="K403" s="780">
        <v>0</v>
      </c>
      <c r="L403" s="780">
        <f t="shared" si="86"/>
        <v>0</v>
      </c>
      <c r="M403" s="780">
        <v>0</v>
      </c>
      <c r="N403" s="780">
        <v>0</v>
      </c>
    </row>
    <row r="404" spans="1:14" s="721" customFormat="1" ht="15" hidden="1" customHeight="1">
      <c r="A404" s="1282"/>
      <c r="B404" s="1283"/>
      <c r="C404" s="1284"/>
      <c r="D404" s="1285"/>
      <c r="E404" s="1290"/>
      <c r="F404" s="1291"/>
      <c r="G404" s="811" t="s">
        <v>23</v>
      </c>
      <c r="H404" s="808">
        <f t="shared" si="84"/>
        <v>1300000</v>
      </c>
      <c r="I404" s="809">
        <f t="shared" si="85"/>
        <v>1300000</v>
      </c>
      <c r="J404" s="809">
        <f>J402+J403</f>
        <v>0</v>
      </c>
      <c r="K404" s="809">
        <f>K402+K403</f>
        <v>1300000</v>
      </c>
      <c r="L404" s="809">
        <f t="shared" si="86"/>
        <v>0</v>
      </c>
      <c r="M404" s="809">
        <f>M402+M403</f>
        <v>0</v>
      </c>
      <c r="N404" s="809">
        <f>N402+N403</f>
        <v>0</v>
      </c>
    </row>
    <row r="405" spans="1:14" s="812" customFormat="1" ht="14.1" hidden="1" customHeight="1">
      <c r="A405" s="1286"/>
      <c r="B405" s="1287"/>
      <c r="C405" s="1252" t="s">
        <v>62</v>
      </c>
      <c r="D405" s="1253"/>
      <c r="E405" s="1254" t="s">
        <v>1120</v>
      </c>
      <c r="F405" s="1255"/>
      <c r="G405" s="860" t="s">
        <v>21</v>
      </c>
      <c r="H405" s="779">
        <f t="shared" si="84"/>
        <v>30300000</v>
      </c>
      <c r="I405" s="780">
        <f t="shared" si="85"/>
        <v>3390250</v>
      </c>
      <c r="J405" s="780">
        <v>0</v>
      </c>
      <c r="K405" s="780">
        <v>3390250</v>
      </c>
      <c r="L405" s="780">
        <f t="shared" si="86"/>
        <v>26909750</v>
      </c>
      <c r="M405" s="780">
        <v>0</v>
      </c>
      <c r="N405" s="780">
        <v>26909750</v>
      </c>
    </row>
    <row r="406" spans="1:14" s="812" customFormat="1" ht="14.1" hidden="1" customHeight="1">
      <c r="A406" s="1286"/>
      <c r="B406" s="1292"/>
      <c r="C406" s="1260"/>
      <c r="D406" s="1292"/>
      <c r="E406" s="1288"/>
      <c r="F406" s="1289"/>
      <c r="G406" s="860" t="s">
        <v>22</v>
      </c>
      <c r="H406" s="779">
        <f t="shared" si="84"/>
        <v>0</v>
      </c>
      <c r="I406" s="780">
        <f t="shared" si="85"/>
        <v>0</v>
      </c>
      <c r="J406" s="780">
        <v>0</v>
      </c>
      <c r="K406" s="780">
        <v>0</v>
      </c>
      <c r="L406" s="780">
        <f t="shared" si="86"/>
        <v>0</v>
      </c>
      <c r="M406" s="780">
        <v>0</v>
      </c>
      <c r="N406" s="780">
        <v>0</v>
      </c>
    </row>
    <row r="407" spans="1:14" s="812" customFormat="1" ht="14.1" hidden="1" customHeight="1">
      <c r="A407" s="1286"/>
      <c r="B407" s="1292"/>
      <c r="C407" s="1260"/>
      <c r="D407" s="1292"/>
      <c r="E407" s="1290"/>
      <c r="F407" s="1291"/>
      <c r="G407" s="860" t="s">
        <v>23</v>
      </c>
      <c r="H407" s="779">
        <f t="shared" si="84"/>
        <v>30300000</v>
      </c>
      <c r="I407" s="780">
        <f t="shared" si="85"/>
        <v>3390250</v>
      </c>
      <c r="J407" s="780">
        <f>J405+J406</f>
        <v>0</v>
      </c>
      <c r="K407" s="780">
        <f>K405+K406</f>
        <v>3390250</v>
      </c>
      <c r="L407" s="780">
        <f>M407+N407</f>
        <v>26909750</v>
      </c>
      <c r="M407" s="780">
        <f>M405+M406</f>
        <v>0</v>
      </c>
      <c r="N407" s="780">
        <f>N405+N406</f>
        <v>26909750</v>
      </c>
    </row>
    <row r="408" spans="1:14" s="812" customFormat="1" ht="14.1" hidden="1" customHeight="1">
      <c r="A408" s="1286"/>
      <c r="B408" s="1287"/>
      <c r="C408" s="1252" t="s">
        <v>1121</v>
      </c>
      <c r="D408" s="1253"/>
      <c r="E408" s="1254" t="s">
        <v>1122</v>
      </c>
      <c r="F408" s="1255"/>
      <c r="G408" s="860" t="s">
        <v>21</v>
      </c>
      <c r="H408" s="779">
        <f t="shared" si="84"/>
        <v>8203199</v>
      </c>
      <c r="I408" s="780">
        <f t="shared" si="85"/>
        <v>0</v>
      </c>
      <c r="J408" s="780">
        <v>0</v>
      </c>
      <c r="K408" s="780">
        <v>0</v>
      </c>
      <c r="L408" s="780">
        <f t="shared" si="86"/>
        <v>8203199</v>
      </c>
      <c r="M408" s="780">
        <v>0</v>
      </c>
      <c r="N408" s="780">
        <v>8203199</v>
      </c>
    </row>
    <row r="409" spans="1:14" s="812" customFormat="1" ht="14.1" hidden="1" customHeight="1">
      <c r="A409" s="1286"/>
      <c r="B409" s="1292"/>
      <c r="C409" s="1260"/>
      <c r="D409" s="1292"/>
      <c r="E409" s="1288"/>
      <c r="F409" s="1289"/>
      <c r="G409" s="860" t="s">
        <v>22</v>
      </c>
      <c r="H409" s="779">
        <f t="shared" si="84"/>
        <v>0</v>
      </c>
      <c r="I409" s="780">
        <f t="shared" si="85"/>
        <v>0</v>
      </c>
      <c r="J409" s="780">
        <v>0</v>
      </c>
      <c r="K409" s="780">
        <v>0</v>
      </c>
      <c r="L409" s="780">
        <f t="shared" si="86"/>
        <v>0</v>
      </c>
      <c r="M409" s="780">
        <v>0</v>
      </c>
      <c r="N409" s="780">
        <v>0</v>
      </c>
    </row>
    <row r="410" spans="1:14" s="721" customFormat="1" ht="14.1" hidden="1" customHeight="1">
      <c r="A410" s="1282"/>
      <c r="B410" s="1283"/>
      <c r="C410" s="1303"/>
      <c r="D410" s="1304"/>
      <c r="E410" s="1290"/>
      <c r="F410" s="1291"/>
      <c r="G410" s="818" t="s">
        <v>23</v>
      </c>
      <c r="H410" s="779">
        <f t="shared" si="84"/>
        <v>8203199</v>
      </c>
      <c r="I410" s="780">
        <f t="shared" si="85"/>
        <v>0</v>
      </c>
      <c r="J410" s="780">
        <f>J408+J409</f>
        <v>0</v>
      </c>
      <c r="K410" s="780">
        <f>K408+K409</f>
        <v>0</v>
      </c>
      <c r="L410" s="780">
        <f t="shared" si="86"/>
        <v>8203199</v>
      </c>
      <c r="M410" s="780">
        <f>M408+M409</f>
        <v>0</v>
      </c>
      <c r="N410" s="780">
        <f>N408+N409</f>
        <v>8203199</v>
      </c>
    </row>
    <row r="411" spans="1:14" s="812" customFormat="1" ht="18" hidden="1" customHeight="1">
      <c r="A411" s="1286"/>
      <c r="B411" s="1287"/>
      <c r="C411" s="1260" t="s">
        <v>65</v>
      </c>
      <c r="D411" s="1261"/>
      <c r="E411" s="1288" t="s">
        <v>1123</v>
      </c>
      <c r="F411" s="1289"/>
      <c r="G411" s="857" t="s">
        <v>21</v>
      </c>
      <c r="H411" s="820">
        <f t="shared" si="84"/>
        <v>76774</v>
      </c>
      <c r="I411" s="821">
        <f t="shared" si="85"/>
        <v>76774</v>
      </c>
      <c r="J411" s="821">
        <v>76774</v>
      </c>
      <c r="K411" s="821">
        <v>0</v>
      </c>
      <c r="L411" s="821">
        <f t="shared" si="86"/>
        <v>0</v>
      </c>
      <c r="M411" s="821">
        <v>0</v>
      </c>
      <c r="N411" s="821">
        <v>0</v>
      </c>
    </row>
    <row r="412" spans="1:14" s="812" customFormat="1" ht="18" hidden="1" customHeight="1">
      <c r="A412" s="1286"/>
      <c r="B412" s="1292"/>
      <c r="C412" s="1260"/>
      <c r="D412" s="1292"/>
      <c r="E412" s="1288"/>
      <c r="F412" s="1289"/>
      <c r="G412" s="858" t="s">
        <v>22</v>
      </c>
      <c r="H412" s="779">
        <f t="shared" si="84"/>
        <v>0</v>
      </c>
      <c r="I412" s="780">
        <f t="shared" si="85"/>
        <v>0</v>
      </c>
      <c r="J412" s="780">
        <v>0</v>
      </c>
      <c r="K412" s="780">
        <v>0</v>
      </c>
      <c r="L412" s="780">
        <f t="shared" si="86"/>
        <v>0</v>
      </c>
      <c r="M412" s="780">
        <v>0</v>
      </c>
      <c r="N412" s="780">
        <v>0</v>
      </c>
    </row>
    <row r="413" spans="1:14" s="721" customFormat="1" ht="18" hidden="1" customHeight="1">
      <c r="A413" s="1282"/>
      <c r="B413" s="1354"/>
      <c r="C413" s="1284"/>
      <c r="D413" s="1354"/>
      <c r="E413" s="1290"/>
      <c r="F413" s="1291"/>
      <c r="G413" s="845" t="s">
        <v>23</v>
      </c>
      <c r="H413" s="808">
        <f t="shared" si="84"/>
        <v>76774</v>
      </c>
      <c r="I413" s="809">
        <f t="shared" si="85"/>
        <v>76774</v>
      </c>
      <c r="J413" s="809">
        <f>J411+J412</f>
        <v>76774</v>
      </c>
      <c r="K413" s="809">
        <f>K411+K412</f>
        <v>0</v>
      </c>
      <c r="L413" s="809">
        <f t="shared" si="86"/>
        <v>0</v>
      </c>
      <c r="M413" s="809">
        <f>M411+M412</f>
        <v>0</v>
      </c>
      <c r="N413" s="809">
        <f>N411+N412</f>
        <v>0</v>
      </c>
    </row>
    <row r="414" spans="1:14" s="812" customFormat="1" ht="20.100000000000001" hidden="1" customHeight="1">
      <c r="A414" s="1286"/>
      <c r="B414" s="1287"/>
      <c r="C414" s="1252" t="s">
        <v>67</v>
      </c>
      <c r="D414" s="1253"/>
      <c r="E414" s="1254" t="s">
        <v>1124</v>
      </c>
      <c r="F414" s="1255"/>
      <c r="G414" s="860" t="s">
        <v>21</v>
      </c>
      <c r="H414" s="779">
        <f t="shared" si="84"/>
        <v>4800000</v>
      </c>
      <c r="I414" s="780">
        <f t="shared" si="85"/>
        <v>4800000</v>
      </c>
      <c r="J414" s="780">
        <v>4800000</v>
      </c>
      <c r="K414" s="780">
        <v>0</v>
      </c>
      <c r="L414" s="780">
        <f t="shared" si="86"/>
        <v>0</v>
      </c>
      <c r="M414" s="780">
        <v>0</v>
      </c>
      <c r="N414" s="780">
        <v>0</v>
      </c>
    </row>
    <row r="415" spans="1:14" s="812" customFormat="1" ht="20.100000000000001" hidden="1" customHeight="1">
      <c r="A415" s="1286"/>
      <c r="B415" s="1292"/>
      <c r="C415" s="1260"/>
      <c r="D415" s="1292"/>
      <c r="E415" s="1288"/>
      <c r="F415" s="1289"/>
      <c r="G415" s="860" t="s">
        <v>22</v>
      </c>
      <c r="H415" s="779">
        <f t="shared" si="84"/>
        <v>0</v>
      </c>
      <c r="I415" s="780">
        <f t="shared" si="85"/>
        <v>0</v>
      </c>
      <c r="J415" s="780">
        <v>0</v>
      </c>
      <c r="K415" s="780">
        <v>0</v>
      </c>
      <c r="L415" s="780">
        <f t="shared" si="86"/>
        <v>0</v>
      </c>
      <c r="M415" s="780">
        <v>0</v>
      </c>
      <c r="N415" s="780">
        <v>0</v>
      </c>
    </row>
    <row r="416" spans="1:14" s="812" customFormat="1" ht="20.100000000000001" hidden="1" customHeight="1">
      <c r="A416" s="1286"/>
      <c r="B416" s="1292"/>
      <c r="C416" s="1260"/>
      <c r="D416" s="1292"/>
      <c r="E416" s="1290"/>
      <c r="F416" s="1291"/>
      <c r="G416" s="860" t="s">
        <v>23</v>
      </c>
      <c r="H416" s="779">
        <f t="shared" si="84"/>
        <v>4800000</v>
      </c>
      <c r="I416" s="780">
        <f t="shared" si="85"/>
        <v>4800000</v>
      </c>
      <c r="J416" s="780">
        <f>J414+J415</f>
        <v>4800000</v>
      </c>
      <c r="K416" s="780">
        <f>K414+K415</f>
        <v>0</v>
      </c>
      <c r="L416" s="780">
        <f t="shared" si="86"/>
        <v>0</v>
      </c>
      <c r="M416" s="780">
        <f>M414+M415</f>
        <v>0</v>
      </c>
      <c r="N416" s="780">
        <f>N414+N415</f>
        <v>0</v>
      </c>
    </row>
    <row r="417" spans="1:14" s="812" customFormat="1" ht="15" hidden="1" customHeight="1">
      <c r="A417" s="1286"/>
      <c r="B417" s="1287"/>
      <c r="C417" s="1260"/>
      <c r="D417" s="1261"/>
      <c r="E417" s="1254" t="s">
        <v>1125</v>
      </c>
      <c r="F417" s="1255"/>
      <c r="G417" s="860" t="s">
        <v>21</v>
      </c>
      <c r="H417" s="779">
        <f t="shared" si="84"/>
        <v>1460013</v>
      </c>
      <c r="I417" s="780">
        <f t="shared" si="85"/>
        <v>1460013</v>
      </c>
      <c r="J417" s="780">
        <v>1460013</v>
      </c>
      <c r="K417" s="780">
        <v>0</v>
      </c>
      <c r="L417" s="780">
        <f t="shared" si="86"/>
        <v>0</v>
      </c>
      <c r="M417" s="780">
        <v>0</v>
      </c>
      <c r="N417" s="780">
        <v>0</v>
      </c>
    </row>
    <row r="418" spans="1:14" s="812" customFormat="1" ht="15" hidden="1" customHeight="1">
      <c r="A418" s="1286"/>
      <c r="B418" s="1292"/>
      <c r="C418" s="1260"/>
      <c r="D418" s="1292"/>
      <c r="E418" s="1288"/>
      <c r="F418" s="1289"/>
      <c r="G418" s="860" t="s">
        <v>22</v>
      </c>
      <c r="H418" s="779">
        <f t="shared" si="84"/>
        <v>0</v>
      </c>
      <c r="I418" s="780">
        <f t="shared" si="85"/>
        <v>0</v>
      </c>
      <c r="J418" s="780">
        <v>0</v>
      </c>
      <c r="K418" s="780">
        <v>0</v>
      </c>
      <c r="L418" s="780">
        <f t="shared" si="86"/>
        <v>0</v>
      </c>
      <c r="M418" s="780">
        <v>0</v>
      </c>
      <c r="N418" s="780">
        <v>0</v>
      </c>
    </row>
    <row r="419" spans="1:14" s="721" customFormat="1" ht="15" hidden="1" customHeight="1">
      <c r="A419" s="1282"/>
      <c r="B419" s="1283"/>
      <c r="C419" s="1284"/>
      <c r="D419" s="1285"/>
      <c r="E419" s="1290"/>
      <c r="F419" s="1291"/>
      <c r="G419" s="811" t="s">
        <v>23</v>
      </c>
      <c r="H419" s="808">
        <f>I419+L419</f>
        <v>1460013</v>
      </c>
      <c r="I419" s="809">
        <f>J419+K419</f>
        <v>1460013</v>
      </c>
      <c r="J419" s="809">
        <f>J417+J418</f>
        <v>1460013</v>
      </c>
      <c r="K419" s="809">
        <f>K417+K418</f>
        <v>0</v>
      </c>
      <c r="L419" s="809">
        <f>M419+N419</f>
        <v>0</v>
      </c>
      <c r="M419" s="809">
        <f>M417+M418</f>
        <v>0</v>
      </c>
      <c r="N419" s="809">
        <f>N417+N418</f>
        <v>0</v>
      </c>
    </row>
    <row r="420" spans="1:14" s="812" customFormat="1" ht="15" hidden="1" customHeight="1">
      <c r="A420" s="1286"/>
      <c r="B420" s="1287"/>
      <c r="C420" s="1252" t="s">
        <v>69</v>
      </c>
      <c r="D420" s="1253"/>
      <c r="E420" s="1254" t="s">
        <v>1126</v>
      </c>
      <c r="F420" s="1255"/>
      <c r="G420" s="860" t="s">
        <v>21</v>
      </c>
      <c r="H420" s="779">
        <f t="shared" si="84"/>
        <v>150000</v>
      </c>
      <c r="I420" s="780">
        <f t="shared" si="85"/>
        <v>150000</v>
      </c>
      <c r="J420" s="780">
        <v>150000</v>
      </c>
      <c r="K420" s="780">
        <v>0</v>
      </c>
      <c r="L420" s="780">
        <f t="shared" si="86"/>
        <v>0</v>
      </c>
      <c r="M420" s="780">
        <v>0</v>
      </c>
      <c r="N420" s="780">
        <v>0</v>
      </c>
    </row>
    <row r="421" spans="1:14" s="812" customFormat="1" ht="15" hidden="1" customHeight="1">
      <c r="A421" s="1286"/>
      <c r="B421" s="1292"/>
      <c r="C421" s="1260"/>
      <c r="D421" s="1292"/>
      <c r="E421" s="1288"/>
      <c r="F421" s="1289"/>
      <c r="G421" s="860" t="s">
        <v>22</v>
      </c>
      <c r="H421" s="779">
        <f t="shared" si="84"/>
        <v>0</v>
      </c>
      <c r="I421" s="780">
        <f t="shared" si="85"/>
        <v>0</v>
      </c>
      <c r="J421" s="780">
        <v>0</v>
      </c>
      <c r="K421" s="780">
        <v>0</v>
      </c>
      <c r="L421" s="780">
        <f t="shared" si="86"/>
        <v>0</v>
      </c>
      <c r="M421" s="780">
        <v>0</v>
      </c>
      <c r="N421" s="780">
        <v>0</v>
      </c>
    </row>
    <row r="422" spans="1:14" s="721" customFormat="1" ht="15" hidden="1" customHeight="1">
      <c r="A422" s="1282"/>
      <c r="B422" s="1283"/>
      <c r="C422" s="1284"/>
      <c r="D422" s="1285"/>
      <c r="E422" s="1290"/>
      <c r="F422" s="1291"/>
      <c r="G422" s="811" t="s">
        <v>23</v>
      </c>
      <c r="H422" s="808">
        <f>I422+L422</f>
        <v>150000</v>
      </c>
      <c r="I422" s="809">
        <f>J422+K422</f>
        <v>150000</v>
      </c>
      <c r="J422" s="809">
        <f>J420+J421</f>
        <v>150000</v>
      </c>
      <c r="K422" s="809">
        <f>K420+K421</f>
        <v>0</v>
      </c>
      <c r="L422" s="809">
        <f>M422+N422</f>
        <v>0</v>
      </c>
      <c r="M422" s="809">
        <f>M420+M421</f>
        <v>0</v>
      </c>
      <c r="N422" s="809">
        <f>N420+N421</f>
        <v>0</v>
      </c>
    </row>
    <row r="423" spans="1:14" s="812" customFormat="1" ht="15" hidden="1" customHeight="1">
      <c r="A423" s="1286"/>
      <c r="B423" s="1287"/>
      <c r="C423" s="1252" t="s">
        <v>72</v>
      </c>
      <c r="D423" s="1253"/>
      <c r="E423" s="1254" t="s">
        <v>1127</v>
      </c>
      <c r="F423" s="1255"/>
      <c r="G423" s="860" t="s">
        <v>21</v>
      </c>
      <c r="H423" s="779">
        <f t="shared" si="84"/>
        <v>50000</v>
      </c>
      <c r="I423" s="780">
        <f t="shared" si="85"/>
        <v>50000</v>
      </c>
      <c r="J423" s="780">
        <v>0</v>
      </c>
      <c r="K423" s="780">
        <v>50000</v>
      </c>
      <c r="L423" s="780">
        <f t="shared" si="86"/>
        <v>0</v>
      </c>
      <c r="M423" s="780">
        <v>0</v>
      </c>
      <c r="N423" s="780">
        <v>0</v>
      </c>
    </row>
    <row r="424" spans="1:14" s="812" customFormat="1" ht="15" hidden="1" customHeight="1">
      <c r="A424" s="1286"/>
      <c r="B424" s="1292"/>
      <c r="C424" s="1260"/>
      <c r="D424" s="1292"/>
      <c r="E424" s="1288"/>
      <c r="F424" s="1289"/>
      <c r="G424" s="860" t="s">
        <v>22</v>
      </c>
      <c r="H424" s="779">
        <f t="shared" si="84"/>
        <v>0</v>
      </c>
      <c r="I424" s="780">
        <f t="shared" si="85"/>
        <v>0</v>
      </c>
      <c r="J424" s="780">
        <v>0</v>
      </c>
      <c r="K424" s="780">
        <v>0</v>
      </c>
      <c r="L424" s="780">
        <f t="shared" si="86"/>
        <v>0</v>
      </c>
      <c r="M424" s="780">
        <v>0</v>
      </c>
      <c r="N424" s="780">
        <v>0</v>
      </c>
    </row>
    <row r="425" spans="1:14" s="721" customFormat="1" ht="15" hidden="1" customHeight="1">
      <c r="A425" s="1282"/>
      <c r="B425" s="1283"/>
      <c r="C425" s="1284"/>
      <c r="D425" s="1285"/>
      <c r="E425" s="1290"/>
      <c r="F425" s="1291"/>
      <c r="G425" s="811" t="s">
        <v>23</v>
      </c>
      <c r="H425" s="808">
        <f>I425+L425</f>
        <v>50000</v>
      </c>
      <c r="I425" s="809">
        <f>J425+K425</f>
        <v>50000</v>
      </c>
      <c r="J425" s="809">
        <f>J423+J424</f>
        <v>0</v>
      </c>
      <c r="K425" s="809">
        <f>K423+K424</f>
        <v>50000</v>
      </c>
      <c r="L425" s="809">
        <f>M425+N425</f>
        <v>0</v>
      </c>
      <c r="M425" s="809">
        <f>M423+M424</f>
        <v>0</v>
      </c>
      <c r="N425" s="809">
        <f>N423+N424</f>
        <v>0</v>
      </c>
    </row>
    <row r="426" spans="1:14" s="721" customFormat="1" ht="15" hidden="1" customHeight="1">
      <c r="A426" s="1278" t="s">
        <v>73</v>
      </c>
      <c r="B426" s="1279"/>
      <c r="C426" s="1280" t="s">
        <v>75</v>
      </c>
      <c r="D426" s="1281"/>
      <c r="E426" s="1254" t="s">
        <v>1128</v>
      </c>
      <c r="F426" s="1255"/>
      <c r="G426" s="860" t="s">
        <v>21</v>
      </c>
      <c r="H426" s="808">
        <f t="shared" si="84"/>
        <v>123470</v>
      </c>
      <c r="I426" s="809">
        <f t="shared" si="85"/>
        <v>0</v>
      </c>
      <c r="J426" s="809">
        <v>0</v>
      </c>
      <c r="K426" s="809">
        <v>0</v>
      </c>
      <c r="L426" s="809">
        <f t="shared" si="86"/>
        <v>123470</v>
      </c>
      <c r="M426" s="809">
        <v>0</v>
      </c>
      <c r="N426" s="809">
        <v>123470</v>
      </c>
    </row>
    <row r="427" spans="1:14" s="721" customFormat="1" ht="15" hidden="1" customHeight="1">
      <c r="A427" s="1282"/>
      <c r="B427" s="1292"/>
      <c r="C427" s="1284"/>
      <c r="D427" s="1292"/>
      <c r="E427" s="1288"/>
      <c r="F427" s="1289"/>
      <c r="G427" s="860" t="s">
        <v>22</v>
      </c>
      <c r="H427" s="808">
        <f t="shared" si="84"/>
        <v>0</v>
      </c>
      <c r="I427" s="809">
        <f t="shared" si="85"/>
        <v>0</v>
      </c>
      <c r="J427" s="809">
        <v>0</v>
      </c>
      <c r="K427" s="809">
        <v>0</v>
      </c>
      <c r="L427" s="809">
        <f t="shared" si="86"/>
        <v>0</v>
      </c>
      <c r="M427" s="809">
        <v>0</v>
      </c>
      <c r="N427" s="809">
        <v>0</v>
      </c>
    </row>
    <row r="428" spans="1:14" s="721" customFormat="1" ht="15" hidden="1" customHeight="1">
      <c r="A428" s="1301"/>
      <c r="B428" s="1302"/>
      <c r="C428" s="1303"/>
      <c r="D428" s="1304"/>
      <c r="E428" s="1290"/>
      <c r="F428" s="1291"/>
      <c r="G428" s="818" t="s">
        <v>23</v>
      </c>
      <c r="H428" s="779">
        <f>I428+L428</f>
        <v>123470</v>
      </c>
      <c r="I428" s="780">
        <f>J428+K428</f>
        <v>0</v>
      </c>
      <c r="J428" s="780">
        <f>J426+J427</f>
        <v>0</v>
      </c>
      <c r="K428" s="780">
        <f>K426+K427</f>
        <v>0</v>
      </c>
      <c r="L428" s="780">
        <f>M428+N428</f>
        <v>123470</v>
      </c>
      <c r="M428" s="780">
        <f>M426+M427</f>
        <v>0</v>
      </c>
      <c r="N428" s="780">
        <f>N426+N427</f>
        <v>123470</v>
      </c>
    </row>
    <row r="429" spans="1:14" s="721" customFormat="1" ht="15" hidden="1" customHeight="1">
      <c r="A429" s="1278" t="s">
        <v>93</v>
      </c>
      <c r="B429" s="1279"/>
      <c r="C429" s="1280" t="s">
        <v>95</v>
      </c>
      <c r="D429" s="1281"/>
      <c r="E429" s="1254" t="s">
        <v>378</v>
      </c>
      <c r="F429" s="1255"/>
      <c r="G429" s="860" t="s">
        <v>21</v>
      </c>
      <c r="H429" s="779">
        <f t="shared" si="84"/>
        <v>543172</v>
      </c>
      <c r="I429" s="780">
        <f t="shared" si="85"/>
        <v>543172</v>
      </c>
      <c r="J429" s="780">
        <v>543172</v>
      </c>
      <c r="K429" s="780">
        <v>0</v>
      </c>
      <c r="L429" s="780">
        <f t="shared" si="86"/>
        <v>0</v>
      </c>
      <c r="M429" s="780">
        <v>0</v>
      </c>
      <c r="N429" s="780">
        <v>0</v>
      </c>
    </row>
    <row r="430" spans="1:14" s="721" customFormat="1" ht="15" hidden="1" customHeight="1">
      <c r="A430" s="1282"/>
      <c r="B430" s="1292"/>
      <c r="C430" s="1284"/>
      <c r="D430" s="1292"/>
      <c r="E430" s="1288"/>
      <c r="F430" s="1289"/>
      <c r="G430" s="860" t="s">
        <v>22</v>
      </c>
      <c r="H430" s="779">
        <f t="shared" si="84"/>
        <v>0</v>
      </c>
      <c r="I430" s="780">
        <f t="shared" si="85"/>
        <v>0</v>
      </c>
      <c r="J430" s="780">
        <v>0</v>
      </c>
      <c r="K430" s="780">
        <v>0</v>
      </c>
      <c r="L430" s="780">
        <f t="shared" si="86"/>
        <v>0</v>
      </c>
      <c r="M430" s="780">
        <v>0</v>
      </c>
      <c r="N430" s="780">
        <v>0</v>
      </c>
    </row>
    <row r="431" spans="1:14" s="721" customFormat="1" ht="15" hidden="1" customHeight="1">
      <c r="A431" s="1282"/>
      <c r="B431" s="1283"/>
      <c r="C431" s="1284"/>
      <c r="D431" s="1285"/>
      <c r="E431" s="1290"/>
      <c r="F431" s="1291"/>
      <c r="G431" s="811" t="s">
        <v>23</v>
      </c>
      <c r="H431" s="808">
        <f>I431+L431</f>
        <v>543172</v>
      </c>
      <c r="I431" s="809">
        <f>J431+K431</f>
        <v>543172</v>
      </c>
      <c r="J431" s="809">
        <f>J429+J430</f>
        <v>543172</v>
      </c>
      <c r="K431" s="809">
        <f>K429+K430</f>
        <v>0</v>
      </c>
      <c r="L431" s="809">
        <f>M431+N431</f>
        <v>0</v>
      </c>
      <c r="M431" s="809">
        <f>M429+M430</f>
        <v>0</v>
      </c>
      <c r="N431" s="809">
        <f>N429+N430</f>
        <v>0</v>
      </c>
    </row>
    <row r="432" spans="1:14" s="721" customFormat="1" ht="15" hidden="1" customHeight="1">
      <c r="A432" s="1278" t="s">
        <v>96</v>
      </c>
      <c r="B432" s="1279"/>
      <c r="C432" s="1280" t="s">
        <v>98</v>
      </c>
      <c r="D432" s="1281"/>
      <c r="E432" s="1254" t="s">
        <v>1129</v>
      </c>
      <c r="F432" s="1255"/>
      <c r="G432" s="860" t="s">
        <v>21</v>
      </c>
      <c r="H432" s="779">
        <f t="shared" si="84"/>
        <v>200000</v>
      </c>
      <c r="I432" s="780">
        <f t="shared" si="85"/>
        <v>200000</v>
      </c>
      <c r="J432" s="780">
        <v>0</v>
      </c>
      <c r="K432" s="780">
        <v>200000</v>
      </c>
      <c r="L432" s="780">
        <f t="shared" si="86"/>
        <v>0</v>
      </c>
      <c r="M432" s="780">
        <v>0</v>
      </c>
      <c r="N432" s="780">
        <v>0</v>
      </c>
    </row>
    <row r="433" spans="1:14" s="721" customFormat="1" ht="15" hidden="1" customHeight="1">
      <c r="A433" s="1282"/>
      <c r="B433" s="1292"/>
      <c r="C433" s="1284"/>
      <c r="D433" s="1292"/>
      <c r="E433" s="1288"/>
      <c r="F433" s="1289"/>
      <c r="G433" s="860" t="s">
        <v>22</v>
      </c>
      <c r="H433" s="779">
        <f t="shared" si="84"/>
        <v>0</v>
      </c>
      <c r="I433" s="780">
        <f t="shared" si="85"/>
        <v>0</v>
      </c>
      <c r="J433" s="780">
        <v>0</v>
      </c>
      <c r="K433" s="780">
        <v>0</v>
      </c>
      <c r="L433" s="780">
        <f t="shared" si="86"/>
        <v>0</v>
      </c>
      <c r="M433" s="780">
        <v>0</v>
      </c>
      <c r="N433" s="780">
        <v>0</v>
      </c>
    </row>
    <row r="434" spans="1:14" s="721" customFormat="1" ht="15" hidden="1" customHeight="1">
      <c r="A434" s="1282"/>
      <c r="B434" s="1283"/>
      <c r="C434" s="1284"/>
      <c r="D434" s="1285"/>
      <c r="E434" s="1290"/>
      <c r="F434" s="1291"/>
      <c r="G434" s="811" t="s">
        <v>23</v>
      </c>
      <c r="H434" s="808">
        <f>I434+L434</f>
        <v>200000</v>
      </c>
      <c r="I434" s="809">
        <f>J434+K434</f>
        <v>200000</v>
      </c>
      <c r="J434" s="809">
        <f>J432+J433</f>
        <v>0</v>
      </c>
      <c r="K434" s="809">
        <f>K432+K433</f>
        <v>200000</v>
      </c>
      <c r="L434" s="809">
        <f>M434+N434</f>
        <v>0</v>
      </c>
      <c r="M434" s="809">
        <f>M432+M433</f>
        <v>0</v>
      </c>
      <c r="N434" s="809">
        <f>N432+N433</f>
        <v>0</v>
      </c>
    </row>
    <row r="435" spans="1:14" s="812" customFormat="1" ht="14.85" hidden="1" customHeight="1">
      <c r="A435" s="1286"/>
      <c r="B435" s="1287"/>
      <c r="C435" s="1252" t="s">
        <v>100</v>
      </c>
      <c r="D435" s="1253"/>
      <c r="E435" s="1254" t="s">
        <v>1130</v>
      </c>
      <c r="F435" s="1255"/>
      <c r="G435" s="860" t="s">
        <v>21</v>
      </c>
      <c r="H435" s="779">
        <f t="shared" si="84"/>
        <v>2607294</v>
      </c>
      <c r="I435" s="780">
        <f t="shared" si="85"/>
        <v>2607294</v>
      </c>
      <c r="J435" s="780">
        <v>2607294</v>
      </c>
      <c r="K435" s="780">
        <v>0</v>
      </c>
      <c r="L435" s="780">
        <f t="shared" si="86"/>
        <v>0</v>
      </c>
      <c r="M435" s="780">
        <v>0</v>
      </c>
      <c r="N435" s="780">
        <v>0</v>
      </c>
    </row>
    <row r="436" spans="1:14" s="812" customFormat="1" ht="14.85" hidden="1" customHeight="1">
      <c r="A436" s="1286"/>
      <c r="B436" s="1292"/>
      <c r="C436" s="1260"/>
      <c r="D436" s="1292"/>
      <c r="E436" s="1288"/>
      <c r="F436" s="1289"/>
      <c r="G436" s="860" t="s">
        <v>22</v>
      </c>
      <c r="H436" s="779">
        <f t="shared" si="84"/>
        <v>0</v>
      </c>
      <c r="I436" s="780">
        <f t="shared" si="85"/>
        <v>0</v>
      </c>
      <c r="J436" s="780">
        <v>0</v>
      </c>
      <c r="K436" s="780">
        <v>0</v>
      </c>
      <c r="L436" s="780">
        <f t="shared" si="86"/>
        <v>0</v>
      </c>
      <c r="M436" s="780">
        <v>0</v>
      </c>
      <c r="N436" s="780">
        <v>0</v>
      </c>
    </row>
    <row r="437" spans="1:14" s="721" customFormat="1" ht="14.45" hidden="1" customHeight="1">
      <c r="A437" s="1301"/>
      <c r="B437" s="1302"/>
      <c r="C437" s="1303"/>
      <c r="D437" s="1304"/>
      <c r="E437" s="1290"/>
      <c r="F437" s="1291"/>
      <c r="G437" s="818" t="s">
        <v>23</v>
      </c>
      <c r="H437" s="779">
        <f>I437+L437</f>
        <v>2607294</v>
      </c>
      <c r="I437" s="780">
        <f>J437+K437</f>
        <v>2607294</v>
      </c>
      <c r="J437" s="780">
        <f>J435+J436</f>
        <v>2607294</v>
      </c>
      <c r="K437" s="780">
        <f>K435+K436</f>
        <v>0</v>
      </c>
      <c r="L437" s="780">
        <f>M437+N437</f>
        <v>0</v>
      </c>
      <c r="M437" s="780">
        <f>M435+M436</f>
        <v>0</v>
      </c>
      <c r="N437" s="780">
        <f>N435+N436</f>
        <v>0</v>
      </c>
    </row>
    <row r="438" spans="1:14" s="721" customFormat="1" ht="15" customHeight="1">
      <c r="A438" s="1278" t="s">
        <v>101</v>
      </c>
      <c r="B438" s="1279"/>
      <c r="C438" s="1280" t="s">
        <v>113</v>
      </c>
      <c r="D438" s="1281"/>
      <c r="E438" s="1254" t="s">
        <v>1131</v>
      </c>
      <c r="F438" s="1255"/>
      <c r="G438" s="860" t="s">
        <v>21</v>
      </c>
      <c r="H438" s="808">
        <f t="shared" si="84"/>
        <v>135000</v>
      </c>
      <c r="I438" s="809">
        <f t="shared" si="85"/>
        <v>0</v>
      </c>
      <c r="J438" s="809">
        <v>0</v>
      </c>
      <c r="K438" s="809">
        <v>0</v>
      </c>
      <c r="L438" s="809">
        <f t="shared" si="86"/>
        <v>135000</v>
      </c>
      <c r="M438" s="809">
        <v>0</v>
      </c>
      <c r="N438" s="809">
        <v>135000</v>
      </c>
    </row>
    <row r="439" spans="1:14" s="721" customFormat="1" ht="15" customHeight="1">
      <c r="A439" s="1282"/>
      <c r="B439" s="1292"/>
      <c r="C439" s="1284"/>
      <c r="D439" s="1292"/>
      <c r="E439" s="1288"/>
      <c r="F439" s="1289"/>
      <c r="G439" s="860" t="s">
        <v>22</v>
      </c>
      <c r="H439" s="808">
        <f t="shared" si="84"/>
        <v>-33000</v>
      </c>
      <c r="I439" s="809">
        <f t="shared" si="85"/>
        <v>0</v>
      </c>
      <c r="J439" s="809">
        <v>0</v>
      </c>
      <c r="K439" s="809">
        <v>0</v>
      </c>
      <c r="L439" s="809">
        <f t="shared" si="86"/>
        <v>-33000</v>
      </c>
      <c r="M439" s="809">
        <v>0</v>
      </c>
      <c r="N439" s="809">
        <v>-33000</v>
      </c>
    </row>
    <row r="440" spans="1:14" s="721" customFormat="1" ht="15" customHeight="1">
      <c r="A440" s="1282"/>
      <c r="B440" s="1283"/>
      <c r="C440" s="1284"/>
      <c r="D440" s="1285"/>
      <c r="E440" s="1290"/>
      <c r="F440" s="1291"/>
      <c r="G440" s="811" t="s">
        <v>23</v>
      </c>
      <c r="H440" s="808">
        <f>I440+L440</f>
        <v>102000</v>
      </c>
      <c r="I440" s="809">
        <f>J440+K440</f>
        <v>0</v>
      </c>
      <c r="J440" s="809">
        <f>J438+J439</f>
        <v>0</v>
      </c>
      <c r="K440" s="809">
        <f>K438+K439</f>
        <v>0</v>
      </c>
      <c r="L440" s="809">
        <f>M440+N440</f>
        <v>102000</v>
      </c>
      <c r="M440" s="809">
        <f>M438+M439</f>
        <v>0</v>
      </c>
      <c r="N440" s="809">
        <f>N438+N439</f>
        <v>102000</v>
      </c>
    </row>
    <row r="441" spans="1:14" s="721" customFormat="1" ht="15" hidden="1" customHeight="1">
      <c r="A441" s="1278" t="s">
        <v>118</v>
      </c>
      <c r="B441" s="1279"/>
      <c r="C441" s="1280" t="s">
        <v>120</v>
      </c>
      <c r="D441" s="1281"/>
      <c r="E441" s="1254" t="s">
        <v>258</v>
      </c>
      <c r="F441" s="1255"/>
      <c r="G441" s="860" t="s">
        <v>21</v>
      </c>
      <c r="H441" s="808">
        <f t="shared" si="84"/>
        <v>0</v>
      </c>
      <c r="I441" s="809">
        <f t="shared" si="85"/>
        <v>0</v>
      </c>
      <c r="J441" s="809">
        <v>0</v>
      </c>
      <c r="K441" s="809">
        <v>0</v>
      </c>
      <c r="L441" s="809">
        <f t="shared" si="86"/>
        <v>0</v>
      </c>
      <c r="M441" s="809">
        <v>0</v>
      </c>
      <c r="N441" s="809">
        <v>0</v>
      </c>
    </row>
    <row r="442" spans="1:14" s="721" customFormat="1" ht="15" hidden="1" customHeight="1">
      <c r="A442" s="1282"/>
      <c r="B442" s="1292"/>
      <c r="C442" s="1284"/>
      <c r="D442" s="1292"/>
      <c r="E442" s="1288"/>
      <c r="F442" s="1289"/>
      <c r="G442" s="860" t="s">
        <v>22</v>
      </c>
      <c r="H442" s="808">
        <f t="shared" si="84"/>
        <v>0</v>
      </c>
      <c r="I442" s="809">
        <f t="shared" si="85"/>
        <v>0</v>
      </c>
      <c r="J442" s="809">
        <v>0</v>
      </c>
      <c r="K442" s="809">
        <v>0</v>
      </c>
      <c r="L442" s="809">
        <f t="shared" si="86"/>
        <v>0</v>
      </c>
      <c r="M442" s="809">
        <v>0</v>
      </c>
      <c r="N442" s="809">
        <v>0</v>
      </c>
    </row>
    <row r="443" spans="1:14" s="721" customFormat="1" ht="15" hidden="1" customHeight="1">
      <c r="A443" s="1282"/>
      <c r="B443" s="1283"/>
      <c r="C443" s="1284"/>
      <c r="D443" s="1285"/>
      <c r="E443" s="1290"/>
      <c r="F443" s="1291"/>
      <c r="G443" s="811" t="s">
        <v>23</v>
      </c>
      <c r="H443" s="808">
        <f>I443+L443</f>
        <v>0</v>
      </c>
      <c r="I443" s="809">
        <f>J443+K443</f>
        <v>0</v>
      </c>
      <c r="J443" s="809">
        <f>J441+J442</f>
        <v>0</v>
      </c>
      <c r="K443" s="809">
        <f>K441+K442</f>
        <v>0</v>
      </c>
      <c r="L443" s="809">
        <f>M443+N443</f>
        <v>0</v>
      </c>
      <c r="M443" s="809">
        <f>M441+M442</f>
        <v>0</v>
      </c>
      <c r="N443" s="809">
        <f>N441+N442</f>
        <v>0</v>
      </c>
    </row>
    <row r="444" spans="1:14" s="812" customFormat="1" ht="17.100000000000001" hidden="1" customHeight="1">
      <c r="A444" s="1337" t="s">
        <v>131</v>
      </c>
      <c r="B444" s="1338"/>
      <c r="C444" s="1252" t="s">
        <v>157</v>
      </c>
      <c r="D444" s="1253"/>
      <c r="E444" s="1254" t="s">
        <v>1132</v>
      </c>
      <c r="F444" s="1255"/>
      <c r="G444" s="860" t="s">
        <v>21</v>
      </c>
      <c r="H444" s="808">
        <f>I444+L444</f>
        <v>332286</v>
      </c>
      <c r="I444" s="809">
        <f>J444+K444</f>
        <v>0</v>
      </c>
      <c r="J444" s="809">
        <v>0</v>
      </c>
      <c r="K444" s="809">
        <v>0</v>
      </c>
      <c r="L444" s="809">
        <f>M444+N444</f>
        <v>332286</v>
      </c>
      <c r="M444" s="809">
        <v>0</v>
      </c>
      <c r="N444" s="809">
        <v>332286</v>
      </c>
    </row>
    <row r="445" spans="1:14" s="812" customFormat="1" ht="17.100000000000001" hidden="1" customHeight="1">
      <c r="A445" s="1286"/>
      <c r="B445" s="1287"/>
      <c r="C445" s="1260"/>
      <c r="D445" s="1261"/>
      <c r="E445" s="1288"/>
      <c r="F445" s="1289"/>
      <c r="G445" s="860" t="s">
        <v>22</v>
      </c>
      <c r="H445" s="808">
        <f>I445+L445</f>
        <v>0</v>
      </c>
      <c r="I445" s="809">
        <f>J445+K445</f>
        <v>0</v>
      </c>
      <c r="J445" s="809">
        <v>0</v>
      </c>
      <c r="K445" s="809">
        <v>0</v>
      </c>
      <c r="L445" s="809">
        <f>M445+N445</f>
        <v>0</v>
      </c>
      <c r="M445" s="809">
        <v>0</v>
      </c>
      <c r="N445" s="809">
        <v>0</v>
      </c>
    </row>
    <row r="446" spans="1:14" s="721" customFormat="1" ht="17.100000000000001" hidden="1" customHeight="1">
      <c r="A446" s="1301"/>
      <c r="B446" s="1302"/>
      <c r="C446" s="1303"/>
      <c r="D446" s="1304"/>
      <c r="E446" s="1290"/>
      <c r="F446" s="1291"/>
      <c r="G446" s="818" t="s">
        <v>23</v>
      </c>
      <c r="H446" s="779">
        <f>I446+L446</f>
        <v>332286</v>
      </c>
      <c r="I446" s="780">
        <f>J446+K446</f>
        <v>0</v>
      </c>
      <c r="J446" s="780">
        <f>J444+J445</f>
        <v>0</v>
      </c>
      <c r="K446" s="780">
        <f>K444+K445</f>
        <v>0</v>
      </c>
      <c r="L446" s="780">
        <f>M446+N446</f>
        <v>332286</v>
      </c>
      <c r="M446" s="780">
        <f>M444+M445</f>
        <v>0</v>
      </c>
      <c r="N446" s="780">
        <f>N444+N445</f>
        <v>332286</v>
      </c>
    </row>
    <row r="447" spans="1:14" s="812" customFormat="1" ht="20.100000000000001" customHeight="1">
      <c r="A447" s="1337" t="s">
        <v>158</v>
      </c>
      <c r="B447" s="1338"/>
      <c r="C447" s="1252" t="s">
        <v>261</v>
      </c>
      <c r="D447" s="1253"/>
      <c r="E447" s="1254" t="s">
        <v>1133</v>
      </c>
      <c r="F447" s="1255"/>
      <c r="G447" s="860" t="s">
        <v>21</v>
      </c>
      <c r="H447" s="808">
        <f t="shared" si="84"/>
        <v>2000000</v>
      </c>
      <c r="I447" s="809">
        <f t="shared" si="85"/>
        <v>2000000</v>
      </c>
      <c r="J447" s="809">
        <v>2000000</v>
      </c>
      <c r="K447" s="809">
        <v>0</v>
      </c>
      <c r="L447" s="809">
        <f t="shared" si="86"/>
        <v>0</v>
      </c>
      <c r="M447" s="809">
        <v>0</v>
      </c>
      <c r="N447" s="809">
        <v>0</v>
      </c>
    </row>
    <row r="448" spans="1:14" s="812" customFormat="1" ht="20.100000000000001" customHeight="1">
      <c r="A448" s="1286"/>
      <c r="B448" s="1287"/>
      <c r="C448" s="1260"/>
      <c r="D448" s="1261"/>
      <c r="E448" s="1288"/>
      <c r="F448" s="1289"/>
      <c r="G448" s="860" t="s">
        <v>22</v>
      </c>
      <c r="H448" s="808">
        <f t="shared" si="84"/>
        <v>500000</v>
      </c>
      <c r="I448" s="809">
        <f t="shared" si="85"/>
        <v>500000</v>
      </c>
      <c r="J448" s="809">
        <v>500000</v>
      </c>
      <c r="K448" s="809">
        <v>0</v>
      </c>
      <c r="L448" s="809">
        <f t="shared" si="86"/>
        <v>0</v>
      </c>
      <c r="M448" s="809">
        <v>0</v>
      </c>
      <c r="N448" s="809">
        <v>0</v>
      </c>
    </row>
    <row r="449" spans="1:14" s="812" customFormat="1" ht="20.100000000000001" customHeight="1">
      <c r="A449" s="1286"/>
      <c r="B449" s="1292"/>
      <c r="C449" s="1260"/>
      <c r="D449" s="1292"/>
      <c r="E449" s="1290"/>
      <c r="F449" s="1291"/>
      <c r="G449" s="860" t="s">
        <v>23</v>
      </c>
      <c r="H449" s="779">
        <f>I449+L449</f>
        <v>2500000</v>
      </c>
      <c r="I449" s="780">
        <f>J449+K449</f>
        <v>2500000</v>
      </c>
      <c r="J449" s="780">
        <f>J447+J448</f>
        <v>2500000</v>
      </c>
      <c r="K449" s="780">
        <f>K447+K448</f>
        <v>0</v>
      </c>
      <c r="L449" s="780">
        <f>M449+N449</f>
        <v>0</v>
      </c>
      <c r="M449" s="780">
        <f>M447+M448</f>
        <v>0</v>
      </c>
      <c r="N449" s="780">
        <f>N447+N448</f>
        <v>0</v>
      </c>
    </row>
    <row r="450" spans="1:14" s="812" customFormat="1" ht="16.5" customHeight="1">
      <c r="A450" s="1286"/>
      <c r="B450" s="1287"/>
      <c r="C450" s="1260"/>
      <c r="D450" s="1261"/>
      <c r="E450" s="1254" t="s">
        <v>1134</v>
      </c>
      <c r="F450" s="1255"/>
      <c r="G450" s="860" t="s">
        <v>21</v>
      </c>
      <c r="H450" s="808">
        <f t="shared" si="84"/>
        <v>1000000</v>
      </c>
      <c r="I450" s="809">
        <f t="shared" si="85"/>
        <v>1000000</v>
      </c>
      <c r="J450" s="809">
        <v>1000000</v>
      </c>
      <c r="K450" s="809">
        <v>0</v>
      </c>
      <c r="L450" s="809">
        <f t="shared" si="86"/>
        <v>0</v>
      </c>
      <c r="M450" s="809">
        <v>0</v>
      </c>
      <c r="N450" s="809">
        <v>0</v>
      </c>
    </row>
    <row r="451" spans="1:14" s="812" customFormat="1" ht="16.5" customHeight="1">
      <c r="A451" s="1286"/>
      <c r="B451" s="1287"/>
      <c r="C451" s="1260"/>
      <c r="D451" s="1261"/>
      <c r="E451" s="1288"/>
      <c r="F451" s="1289"/>
      <c r="G451" s="860" t="s">
        <v>22</v>
      </c>
      <c r="H451" s="808">
        <f t="shared" si="84"/>
        <v>-500000</v>
      </c>
      <c r="I451" s="809">
        <f t="shared" si="85"/>
        <v>-500000</v>
      </c>
      <c r="J451" s="809">
        <v>-500000</v>
      </c>
      <c r="K451" s="809">
        <v>0</v>
      </c>
      <c r="L451" s="809">
        <f t="shared" si="86"/>
        <v>0</v>
      </c>
      <c r="M451" s="809">
        <v>0</v>
      </c>
      <c r="N451" s="809">
        <v>0</v>
      </c>
    </row>
    <row r="452" spans="1:14" s="721" customFormat="1" ht="16.5" customHeight="1">
      <c r="A452" s="1282"/>
      <c r="B452" s="1283"/>
      <c r="C452" s="1284"/>
      <c r="D452" s="1285"/>
      <c r="E452" s="1290"/>
      <c r="F452" s="1291"/>
      <c r="G452" s="811" t="s">
        <v>23</v>
      </c>
      <c r="H452" s="808">
        <f t="shared" si="84"/>
        <v>500000</v>
      </c>
      <c r="I452" s="809">
        <f t="shared" si="85"/>
        <v>500000</v>
      </c>
      <c r="J452" s="809">
        <f>J450+J451</f>
        <v>500000</v>
      </c>
      <c r="K452" s="809">
        <f>K450+K451</f>
        <v>0</v>
      </c>
      <c r="L452" s="809">
        <f t="shared" si="86"/>
        <v>0</v>
      </c>
      <c r="M452" s="809">
        <f>M450+M451</f>
        <v>0</v>
      </c>
      <c r="N452" s="809">
        <f>N450+N451</f>
        <v>0</v>
      </c>
    </row>
    <row r="453" spans="1:14" s="812" customFormat="1" ht="18" hidden="1" customHeight="1">
      <c r="A453" s="1286"/>
      <c r="B453" s="1287"/>
      <c r="C453" s="1260"/>
      <c r="D453" s="1261"/>
      <c r="E453" s="1254" t="s">
        <v>1135</v>
      </c>
      <c r="F453" s="1255"/>
      <c r="G453" s="860" t="s">
        <v>21</v>
      </c>
      <c r="H453" s="808">
        <f>I453+L453</f>
        <v>1500000</v>
      </c>
      <c r="I453" s="809">
        <f>J453+K453</f>
        <v>1500000</v>
      </c>
      <c r="J453" s="809">
        <v>1500000</v>
      </c>
      <c r="K453" s="809">
        <v>0</v>
      </c>
      <c r="L453" s="809">
        <f>M453+N453</f>
        <v>0</v>
      </c>
      <c r="M453" s="809">
        <v>0</v>
      </c>
      <c r="N453" s="809">
        <v>0</v>
      </c>
    </row>
    <row r="454" spans="1:14" s="812" customFormat="1" ht="18" hidden="1" customHeight="1">
      <c r="A454" s="1286"/>
      <c r="B454" s="1287"/>
      <c r="C454" s="1260"/>
      <c r="D454" s="1261"/>
      <c r="E454" s="1288"/>
      <c r="F454" s="1289"/>
      <c r="G454" s="860" t="s">
        <v>22</v>
      </c>
      <c r="H454" s="808">
        <f>I454+L454</f>
        <v>0</v>
      </c>
      <c r="I454" s="809">
        <f>J454+K454</f>
        <v>0</v>
      </c>
      <c r="J454" s="809">
        <v>0</v>
      </c>
      <c r="K454" s="809">
        <v>0</v>
      </c>
      <c r="L454" s="809">
        <f>M454+N454</f>
        <v>0</v>
      </c>
      <c r="M454" s="809">
        <v>0</v>
      </c>
      <c r="N454" s="809">
        <v>0</v>
      </c>
    </row>
    <row r="455" spans="1:14" s="721" customFormat="1" ht="18" hidden="1" customHeight="1">
      <c r="A455" s="1282"/>
      <c r="B455" s="1283"/>
      <c r="C455" s="1284"/>
      <c r="D455" s="1285"/>
      <c r="E455" s="1290"/>
      <c r="F455" s="1291"/>
      <c r="G455" s="811" t="s">
        <v>23</v>
      </c>
      <c r="H455" s="808">
        <f>I455+L455</f>
        <v>1500000</v>
      </c>
      <c r="I455" s="809">
        <f>J455+K455</f>
        <v>1500000</v>
      </c>
      <c r="J455" s="809">
        <f>J453+J454</f>
        <v>1500000</v>
      </c>
      <c r="K455" s="809">
        <f>K453+K454</f>
        <v>0</v>
      </c>
      <c r="L455" s="809">
        <f>M455+N455</f>
        <v>0</v>
      </c>
      <c r="M455" s="809">
        <f>M453+M454</f>
        <v>0</v>
      </c>
      <c r="N455" s="809">
        <f>N453+N454</f>
        <v>0</v>
      </c>
    </row>
    <row r="456" spans="1:14" s="812" customFormat="1" ht="16.5" hidden="1" customHeight="1">
      <c r="A456" s="1286"/>
      <c r="B456" s="1287"/>
      <c r="C456" s="1260"/>
      <c r="D456" s="1261"/>
      <c r="E456" s="1254" t="s">
        <v>1136</v>
      </c>
      <c r="F456" s="1255"/>
      <c r="G456" s="860" t="s">
        <v>21</v>
      </c>
      <c r="H456" s="808">
        <f t="shared" si="84"/>
        <v>4928517</v>
      </c>
      <c r="I456" s="809">
        <f t="shared" si="85"/>
        <v>4928517</v>
      </c>
      <c r="J456" s="809">
        <v>4068132</v>
      </c>
      <c r="K456" s="809">
        <v>860385</v>
      </c>
      <c r="L456" s="809">
        <f t="shared" si="86"/>
        <v>0</v>
      </c>
      <c r="M456" s="809">
        <v>0</v>
      </c>
      <c r="N456" s="809">
        <v>0</v>
      </c>
    </row>
    <row r="457" spans="1:14" s="812" customFormat="1" ht="25.5" hidden="1" customHeight="1">
      <c r="A457" s="1286"/>
      <c r="B457" s="1287"/>
      <c r="C457" s="1260"/>
      <c r="D457" s="1261"/>
      <c r="E457" s="1288"/>
      <c r="F457" s="1289"/>
      <c r="G457" s="860" t="s">
        <v>22</v>
      </c>
      <c r="H457" s="808">
        <f t="shared" si="84"/>
        <v>0</v>
      </c>
      <c r="I457" s="809">
        <f t="shared" si="85"/>
        <v>0</v>
      </c>
      <c r="J457" s="809">
        <v>0</v>
      </c>
      <c r="K457" s="809">
        <v>0</v>
      </c>
      <c r="L457" s="809">
        <f t="shared" si="86"/>
        <v>0</v>
      </c>
      <c r="M457" s="809">
        <v>0</v>
      </c>
      <c r="N457" s="809">
        <v>0</v>
      </c>
    </row>
    <row r="458" spans="1:14" s="721" customFormat="1" ht="25.5" hidden="1" customHeight="1">
      <c r="A458" s="1282"/>
      <c r="B458" s="1283"/>
      <c r="C458" s="1284"/>
      <c r="D458" s="1285"/>
      <c r="E458" s="1290"/>
      <c r="F458" s="1291"/>
      <c r="G458" s="811" t="s">
        <v>23</v>
      </c>
      <c r="H458" s="808">
        <f t="shared" si="84"/>
        <v>4928517</v>
      </c>
      <c r="I458" s="809">
        <f t="shared" si="85"/>
        <v>4928517</v>
      </c>
      <c r="J458" s="809">
        <f>J456+J457</f>
        <v>4068132</v>
      </c>
      <c r="K458" s="809">
        <f>K456+K457</f>
        <v>860385</v>
      </c>
      <c r="L458" s="809">
        <f t="shared" si="86"/>
        <v>0</v>
      </c>
      <c r="M458" s="809">
        <f>M456+M457</f>
        <v>0</v>
      </c>
      <c r="N458" s="809">
        <f>N456+N457</f>
        <v>0</v>
      </c>
    </row>
    <row r="459" spans="1:14" s="812" customFormat="1" ht="26.45" hidden="1" customHeight="1">
      <c r="A459" s="1286"/>
      <c r="B459" s="1287"/>
      <c r="C459" s="1260"/>
      <c r="D459" s="1261"/>
      <c r="E459" s="1254" t="s">
        <v>1137</v>
      </c>
      <c r="F459" s="1255"/>
      <c r="G459" s="860" t="s">
        <v>21</v>
      </c>
      <c r="H459" s="808">
        <f t="shared" si="84"/>
        <v>470939</v>
      </c>
      <c r="I459" s="809">
        <f t="shared" si="85"/>
        <v>470939</v>
      </c>
      <c r="J459" s="809">
        <v>206000</v>
      </c>
      <c r="K459" s="809">
        <v>264939</v>
      </c>
      <c r="L459" s="809">
        <f t="shared" si="86"/>
        <v>0</v>
      </c>
      <c r="M459" s="809">
        <v>0</v>
      </c>
      <c r="N459" s="809">
        <v>0</v>
      </c>
    </row>
    <row r="460" spans="1:14" s="812" customFormat="1" ht="26.45" hidden="1" customHeight="1">
      <c r="A460" s="1286"/>
      <c r="B460" s="1287"/>
      <c r="C460" s="1260"/>
      <c r="D460" s="1261"/>
      <c r="E460" s="1288"/>
      <c r="F460" s="1289"/>
      <c r="G460" s="860" t="s">
        <v>22</v>
      </c>
      <c r="H460" s="808">
        <f t="shared" si="84"/>
        <v>0</v>
      </c>
      <c r="I460" s="809">
        <f t="shared" si="85"/>
        <v>0</v>
      </c>
      <c r="J460" s="809">
        <v>0</v>
      </c>
      <c r="K460" s="809">
        <v>0</v>
      </c>
      <c r="L460" s="809">
        <f t="shared" si="86"/>
        <v>0</v>
      </c>
      <c r="M460" s="809">
        <v>0</v>
      </c>
      <c r="N460" s="809">
        <v>0</v>
      </c>
    </row>
    <row r="461" spans="1:14" s="721" customFormat="1" ht="26.45" hidden="1" customHeight="1">
      <c r="A461" s="1282"/>
      <c r="B461" s="1283"/>
      <c r="C461" s="1284"/>
      <c r="D461" s="1285"/>
      <c r="E461" s="1290"/>
      <c r="F461" s="1291"/>
      <c r="G461" s="811" t="s">
        <v>23</v>
      </c>
      <c r="H461" s="808">
        <f t="shared" si="84"/>
        <v>470939</v>
      </c>
      <c r="I461" s="809">
        <f t="shared" si="85"/>
        <v>470939</v>
      </c>
      <c r="J461" s="809">
        <f>J459+J460</f>
        <v>206000</v>
      </c>
      <c r="K461" s="809">
        <f>K459+K460</f>
        <v>264939</v>
      </c>
      <c r="L461" s="809">
        <f t="shared" si="86"/>
        <v>0</v>
      </c>
      <c r="M461" s="809">
        <f>M459+M460</f>
        <v>0</v>
      </c>
      <c r="N461" s="809">
        <f>N459+N460</f>
        <v>0</v>
      </c>
    </row>
    <row r="462" spans="1:14" s="812" customFormat="1" ht="15" customHeight="1">
      <c r="A462" s="1286"/>
      <c r="B462" s="1287"/>
      <c r="C462" s="1260"/>
      <c r="D462" s="1261"/>
      <c r="E462" s="1254" t="s">
        <v>1138</v>
      </c>
      <c r="F462" s="1255"/>
      <c r="G462" s="860" t="s">
        <v>21</v>
      </c>
      <c r="H462" s="808">
        <f>I462+L462</f>
        <v>0</v>
      </c>
      <c r="I462" s="809">
        <f>J462+K462</f>
        <v>0</v>
      </c>
      <c r="J462" s="809">
        <v>0</v>
      </c>
      <c r="K462" s="809">
        <v>0</v>
      </c>
      <c r="L462" s="809">
        <f>M462+N462</f>
        <v>0</v>
      </c>
      <c r="M462" s="809">
        <v>0</v>
      </c>
      <c r="N462" s="809">
        <v>0</v>
      </c>
    </row>
    <row r="463" spans="1:14" s="812" customFormat="1" ht="15" customHeight="1">
      <c r="A463" s="1286"/>
      <c r="B463" s="1287"/>
      <c r="C463" s="1260"/>
      <c r="D463" s="1261"/>
      <c r="E463" s="1288"/>
      <c r="F463" s="1289"/>
      <c r="G463" s="860" t="s">
        <v>22</v>
      </c>
      <c r="H463" s="808">
        <f>I463+L463</f>
        <v>1482360</v>
      </c>
      <c r="I463" s="809">
        <f>J463+K463</f>
        <v>1482360</v>
      </c>
      <c r="J463" s="809">
        <v>1482360</v>
      </c>
      <c r="K463" s="809">
        <v>0</v>
      </c>
      <c r="L463" s="809">
        <f>M463+N463</f>
        <v>0</v>
      </c>
      <c r="M463" s="809">
        <v>0</v>
      </c>
      <c r="N463" s="809">
        <v>0</v>
      </c>
    </row>
    <row r="464" spans="1:14" s="721" customFormat="1" ht="15" customHeight="1">
      <c r="A464" s="1282"/>
      <c r="B464" s="1283"/>
      <c r="C464" s="1284"/>
      <c r="D464" s="1285"/>
      <c r="E464" s="1290"/>
      <c r="F464" s="1291"/>
      <c r="G464" s="811" t="s">
        <v>23</v>
      </c>
      <c r="H464" s="808">
        <f>I464+L464</f>
        <v>1482360</v>
      </c>
      <c r="I464" s="809">
        <f>J464+K464</f>
        <v>1482360</v>
      </c>
      <c r="J464" s="809">
        <f>J462+J463</f>
        <v>1482360</v>
      </c>
      <c r="K464" s="809">
        <f>K462+K463</f>
        <v>0</v>
      </c>
      <c r="L464" s="809">
        <f>M464+N464</f>
        <v>0</v>
      </c>
      <c r="M464" s="809">
        <f>M462+M463</f>
        <v>0</v>
      </c>
      <c r="N464" s="809">
        <f>N462+N463</f>
        <v>0</v>
      </c>
    </row>
    <row r="465" spans="1:14" s="812" customFormat="1" ht="18" hidden="1" customHeight="1">
      <c r="A465" s="1286"/>
      <c r="B465" s="1287"/>
      <c r="C465" s="1260"/>
      <c r="D465" s="1261"/>
      <c r="E465" s="1254" t="s">
        <v>1139</v>
      </c>
      <c r="F465" s="1255"/>
      <c r="G465" s="860" t="s">
        <v>21</v>
      </c>
      <c r="H465" s="808">
        <f t="shared" si="84"/>
        <v>200000</v>
      </c>
      <c r="I465" s="809">
        <f t="shared" si="85"/>
        <v>200000</v>
      </c>
      <c r="J465" s="809">
        <v>135000</v>
      </c>
      <c r="K465" s="809">
        <v>65000</v>
      </c>
      <c r="L465" s="809">
        <f t="shared" si="86"/>
        <v>0</v>
      </c>
      <c r="M465" s="809">
        <v>0</v>
      </c>
      <c r="N465" s="809">
        <v>0</v>
      </c>
    </row>
    <row r="466" spans="1:14" s="812" customFormat="1" ht="18" hidden="1" customHeight="1">
      <c r="A466" s="1286"/>
      <c r="B466" s="1287"/>
      <c r="C466" s="1260"/>
      <c r="D466" s="1261"/>
      <c r="E466" s="1288"/>
      <c r="F466" s="1289"/>
      <c r="G466" s="860" t="s">
        <v>22</v>
      </c>
      <c r="H466" s="808">
        <f t="shared" si="84"/>
        <v>0</v>
      </c>
      <c r="I466" s="809">
        <f t="shared" si="85"/>
        <v>0</v>
      </c>
      <c r="J466" s="809">
        <v>0</v>
      </c>
      <c r="K466" s="809">
        <v>0</v>
      </c>
      <c r="L466" s="809">
        <f t="shared" si="86"/>
        <v>0</v>
      </c>
      <c r="M466" s="809">
        <v>0</v>
      </c>
      <c r="N466" s="809">
        <v>0</v>
      </c>
    </row>
    <row r="467" spans="1:14" s="721" customFormat="1" ht="18" hidden="1" customHeight="1">
      <c r="A467" s="1282"/>
      <c r="B467" s="1283"/>
      <c r="C467" s="1284"/>
      <c r="D467" s="1285"/>
      <c r="E467" s="1288"/>
      <c r="F467" s="1289"/>
      <c r="G467" s="811" t="s">
        <v>23</v>
      </c>
      <c r="H467" s="808">
        <f t="shared" si="84"/>
        <v>200000</v>
      </c>
      <c r="I467" s="809">
        <f t="shared" si="85"/>
        <v>200000</v>
      </c>
      <c r="J467" s="809">
        <f>J465+J466</f>
        <v>135000</v>
      </c>
      <c r="K467" s="809">
        <f>K465+K466</f>
        <v>65000</v>
      </c>
      <c r="L467" s="809">
        <f t="shared" si="86"/>
        <v>0</v>
      </c>
      <c r="M467" s="809">
        <f>M465+M466</f>
        <v>0</v>
      </c>
      <c r="N467" s="809">
        <f>N465+N466</f>
        <v>0</v>
      </c>
    </row>
    <row r="468" spans="1:14" s="812" customFormat="1" ht="23.25" hidden="1" customHeight="1">
      <c r="A468" s="1286"/>
      <c r="B468" s="1287"/>
      <c r="C468" s="1260"/>
      <c r="D468" s="1261"/>
      <c r="E468" s="1254" t="s">
        <v>1140</v>
      </c>
      <c r="F468" s="1255"/>
      <c r="G468" s="860" t="s">
        <v>21</v>
      </c>
      <c r="H468" s="808">
        <f t="shared" si="84"/>
        <v>216000</v>
      </c>
      <c r="I468" s="809">
        <f t="shared" si="85"/>
        <v>216000</v>
      </c>
      <c r="J468" s="809">
        <v>216000</v>
      </c>
      <c r="K468" s="809">
        <v>0</v>
      </c>
      <c r="L468" s="809">
        <f t="shared" si="86"/>
        <v>0</v>
      </c>
      <c r="M468" s="809">
        <v>0</v>
      </c>
      <c r="N468" s="809">
        <v>0</v>
      </c>
    </row>
    <row r="469" spans="1:14" s="812" customFormat="1" ht="23.25" hidden="1" customHeight="1">
      <c r="A469" s="1286"/>
      <c r="B469" s="1287"/>
      <c r="C469" s="1260"/>
      <c r="D469" s="1261"/>
      <c r="E469" s="1288"/>
      <c r="F469" s="1289"/>
      <c r="G469" s="860" t="s">
        <v>22</v>
      </c>
      <c r="H469" s="808">
        <f t="shared" si="84"/>
        <v>0</v>
      </c>
      <c r="I469" s="809">
        <f t="shared" si="85"/>
        <v>0</v>
      </c>
      <c r="J469" s="809">
        <v>0</v>
      </c>
      <c r="K469" s="809">
        <v>0</v>
      </c>
      <c r="L469" s="809">
        <f t="shared" si="86"/>
        <v>0</v>
      </c>
      <c r="M469" s="809">
        <v>0</v>
      </c>
      <c r="N469" s="809">
        <v>0</v>
      </c>
    </row>
    <row r="470" spans="1:14" s="721" customFormat="1" ht="23.25" hidden="1" customHeight="1">
      <c r="A470" s="1282"/>
      <c r="B470" s="1283"/>
      <c r="C470" s="1284"/>
      <c r="D470" s="1285"/>
      <c r="E470" s="1290"/>
      <c r="F470" s="1291"/>
      <c r="G470" s="811" t="s">
        <v>23</v>
      </c>
      <c r="H470" s="808">
        <f t="shared" si="84"/>
        <v>216000</v>
      </c>
      <c r="I470" s="809">
        <f t="shared" si="85"/>
        <v>216000</v>
      </c>
      <c r="J470" s="809">
        <f>J468+J469</f>
        <v>216000</v>
      </c>
      <c r="K470" s="809">
        <f>K468+K469</f>
        <v>0</v>
      </c>
      <c r="L470" s="809">
        <f t="shared" si="86"/>
        <v>0</v>
      </c>
      <c r="M470" s="809">
        <f>M468+M469</f>
        <v>0</v>
      </c>
      <c r="N470" s="809">
        <f>N468+N469</f>
        <v>0</v>
      </c>
    </row>
    <row r="471" spans="1:14" s="812" customFormat="1" ht="18" hidden="1" customHeight="1">
      <c r="A471" s="1286"/>
      <c r="B471" s="1287"/>
      <c r="C471" s="1252" t="s">
        <v>275</v>
      </c>
      <c r="D471" s="1253"/>
      <c r="E471" s="1254" t="s">
        <v>1141</v>
      </c>
      <c r="F471" s="1255"/>
      <c r="G471" s="860" t="s">
        <v>21</v>
      </c>
      <c r="H471" s="808">
        <f t="shared" si="84"/>
        <v>720000</v>
      </c>
      <c r="I471" s="809">
        <f t="shared" si="85"/>
        <v>720000</v>
      </c>
      <c r="J471" s="809">
        <v>720000</v>
      </c>
      <c r="K471" s="809">
        <v>0</v>
      </c>
      <c r="L471" s="809">
        <f t="shared" si="86"/>
        <v>0</v>
      </c>
      <c r="M471" s="809">
        <v>0</v>
      </c>
      <c r="N471" s="809">
        <v>0</v>
      </c>
    </row>
    <row r="472" spans="1:14" s="812" customFormat="1" ht="18" hidden="1" customHeight="1">
      <c r="A472" s="1286"/>
      <c r="B472" s="1287"/>
      <c r="C472" s="1260"/>
      <c r="D472" s="1261"/>
      <c r="E472" s="1288"/>
      <c r="F472" s="1289"/>
      <c r="G472" s="860" t="s">
        <v>22</v>
      </c>
      <c r="H472" s="808">
        <f t="shared" si="84"/>
        <v>0</v>
      </c>
      <c r="I472" s="809">
        <f t="shared" si="85"/>
        <v>0</v>
      </c>
      <c r="J472" s="809">
        <v>0</v>
      </c>
      <c r="K472" s="809">
        <v>0</v>
      </c>
      <c r="L472" s="809">
        <f t="shared" si="86"/>
        <v>0</v>
      </c>
      <c r="M472" s="809">
        <v>0</v>
      </c>
      <c r="N472" s="809">
        <v>0</v>
      </c>
    </row>
    <row r="473" spans="1:14" s="721" customFormat="1" ht="18" hidden="1" customHeight="1">
      <c r="A473" s="1282"/>
      <c r="B473" s="1283"/>
      <c r="C473" s="1284"/>
      <c r="D473" s="1285"/>
      <c r="E473" s="1290"/>
      <c r="F473" s="1291"/>
      <c r="G473" s="811" t="s">
        <v>23</v>
      </c>
      <c r="H473" s="808">
        <f t="shared" si="84"/>
        <v>720000</v>
      </c>
      <c r="I473" s="809">
        <f t="shared" si="85"/>
        <v>720000</v>
      </c>
      <c r="J473" s="809">
        <f>J471+J472</f>
        <v>720000</v>
      </c>
      <c r="K473" s="809">
        <f>K471+K472</f>
        <v>0</v>
      </c>
      <c r="L473" s="809">
        <f t="shared" si="86"/>
        <v>0</v>
      </c>
      <c r="M473" s="809">
        <f>M471+M472</f>
        <v>0</v>
      </c>
      <c r="N473" s="809">
        <f>N471+N472</f>
        <v>0</v>
      </c>
    </row>
    <row r="474" spans="1:14" s="812" customFormat="1" ht="18" hidden="1" customHeight="1">
      <c r="A474" s="1286"/>
      <c r="B474" s="1287"/>
      <c r="C474" s="1252" t="s">
        <v>278</v>
      </c>
      <c r="D474" s="1253"/>
      <c r="E474" s="1254" t="s">
        <v>1142</v>
      </c>
      <c r="F474" s="1255"/>
      <c r="G474" s="860" t="s">
        <v>21</v>
      </c>
      <c r="H474" s="808">
        <f t="shared" si="84"/>
        <v>24212</v>
      </c>
      <c r="I474" s="809">
        <f t="shared" si="85"/>
        <v>24212</v>
      </c>
      <c r="J474" s="809">
        <v>24212</v>
      </c>
      <c r="K474" s="809">
        <v>0</v>
      </c>
      <c r="L474" s="809">
        <f t="shared" si="86"/>
        <v>0</v>
      </c>
      <c r="M474" s="809">
        <v>0</v>
      </c>
      <c r="N474" s="809">
        <v>0</v>
      </c>
    </row>
    <row r="475" spans="1:14" s="812" customFormat="1" ht="18" hidden="1" customHeight="1">
      <c r="A475" s="1286"/>
      <c r="B475" s="1287"/>
      <c r="C475" s="1260"/>
      <c r="D475" s="1261"/>
      <c r="E475" s="1288"/>
      <c r="F475" s="1289"/>
      <c r="G475" s="860" t="s">
        <v>22</v>
      </c>
      <c r="H475" s="808">
        <f t="shared" si="84"/>
        <v>0</v>
      </c>
      <c r="I475" s="809">
        <f t="shared" si="85"/>
        <v>0</v>
      </c>
      <c r="J475" s="809">
        <v>0</v>
      </c>
      <c r="K475" s="809">
        <v>0</v>
      </c>
      <c r="L475" s="809">
        <f t="shared" si="86"/>
        <v>0</v>
      </c>
      <c r="M475" s="809">
        <v>0</v>
      </c>
      <c r="N475" s="809">
        <v>0</v>
      </c>
    </row>
    <row r="476" spans="1:14" s="721" customFormat="1" ht="18" hidden="1" customHeight="1">
      <c r="A476" s="1282"/>
      <c r="B476" s="1283"/>
      <c r="C476" s="1284"/>
      <c r="D476" s="1285"/>
      <c r="E476" s="1290"/>
      <c r="F476" s="1291"/>
      <c r="G476" s="811" t="s">
        <v>23</v>
      </c>
      <c r="H476" s="808">
        <f t="shared" si="84"/>
        <v>24212</v>
      </c>
      <c r="I476" s="809">
        <f t="shared" si="85"/>
        <v>24212</v>
      </c>
      <c r="J476" s="809">
        <f>J474+J475</f>
        <v>24212</v>
      </c>
      <c r="K476" s="809">
        <f>K474+K475</f>
        <v>0</v>
      </c>
      <c r="L476" s="809">
        <f t="shared" si="86"/>
        <v>0</v>
      </c>
      <c r="M476" s="809">
        <f>M474+M475</f>
        <v>0</v>
      </c>
      <c r="N476" s="809">
        <f>N474+N475</f>
        <v>0</v>
      </c>
    </row>
    <row r="477" spans="1:14" s="812" customFormat="1" ht="18" hidden="1" customHeight="1">
      <c r="A477" s="1286"/>
      <c r="B477" s="1287"/>
      <c r="C477" s="1260"/>
      <c r="D477" s="1261"/>
      <c r="E477" s="1254" t="s">
        <v>1143</v>
      </c>
      <c r="F477" s="1255"/>
      <c r="G477" s="860" t="s">
        <v>21</v>
      </c>
      <c r="H477" s="808">
        <f t="shared" si="84"/>
        <v>16222</v>
      </c>
      <c r="I477" s="809">
        <f t="shared" si="85"/>
        <v>16222</v>
      </c>
      <c r="J477" s="809">
        <v>16222</v>
      </c>
      <c r="K477" s="809">
        <v>0</v>
      </c>
      <c r="L477" s="809">
        <f t="shared" si="86"/>
        <v>0</v>
      </c>
      <c r="M477" s="809">
        <v>0</v>
      </c>
      <c r="N477" s="809">
        <v>0</v>
      </c>
    </row>
    <row r="478" spans="1:14" s="812" customFormat="1" ht="18" hidden="1" customHeight="1">
      <c r="A478" s="1286"/>
      <c r="B478" s="1287"/>
      <c r="C478" s="1260"/>
      <c r="D478" s="1261"/>
      <c r="E478" s="1288"/>
      <c r="F478" s="1289"/>
      <c r="G478" s="860" t="s">
        <v>22</v>
      </c>
      <c r="H478" s="808">
        <f t="shared" si="84"/>
        <v>0</v>
      </c>
      <c r="I478" s="809">
        <f t="shared" si="85"/>
        <v>0</v>
      </c>
      <c r="J478" s="809">
        <v>0</v>
      </c>
      <c r="K478" s="809">
        <v>0</v>
      </c>
      <c r="L478" s="809">
        <f t="shared" si="86"/>
        <v>0</v>
      </c>
      <c r="M478" s="809">
        <v>0</v>
      </c>
      <c r="N478" s="809">
        <v>0</v>
      </c>
    </row>
    <row r="479" spans="1:14" s="721" customFormat="1" ht="18" hidden="1" customHeight="1">
      <c r="A479" s="1282"/>
      <c r="B479" s="1283"/>
      <c r="C479" s="1284"/>
      <c r="D479" s="1285"/>
      <c r="E479" s="1290"/>
      <c r="F479" s="1291"/>
      <c r="G479" s="811" t="s">
        <v>23</v>
      </c>
      <c r="H479" s="808">
        <f t="shared" si="84"/>
        <v>16222</v>
      </c>
      <c r="I479" s="809">
        <f t="shared" si="85"/>
        <v>16222</v>
      </c>
      <c r="J479" s="809">
        <f>J477+J478</f>
        <v>16222</v>
      </c>
      <c r="K479" s="809">
        <f>K477+K478</f>
        <v>0</v>
      </c>
      <c r="L479" s="809">
        <f t="shared" si="86"/>
        <v>0</v>
      </c>
      <c r="M479" s="809">
        <f>M477+M478</f>
        <v>0</v>
      </c>
      <c r="N479" s="809">
        <f>N477+N478</f>
        <v>0</v>
      </c>
    </row>
    <row r="480" spans="1:14" s="812" customFormat="1" ht="15.6" hidden="1" customHeight="1">
      <c r="A480" s="1286"/>
      <c r="B480" s="1287"/>
      <c r="C480" s="1252" t="s">
        <v>279</v>
      </c>
      <c r="D480" s="1253"/>
      <c r="E480" s="1254" t="s">
        <v>1144</v>
      </c>
      <c r="F480" s="1255"/>
      <c r="G480" s="852" t="s">
        <v>21</v>
      </c>
      <c r="H480" s="808">
        <f t="shared" si="84"/>
        <v>198572</v>
      </c>
      <c r="I480" s="809">
        <f t="shared" si="85"/>
        <v>198572</v>
      </c>
      <c r="J480" s="809">
        <v>198572</v>
      </c>
      <c r="K480" s="809">
        <v>0</v>
      </c>
      <c r="L480" s="809">
        <f t="shared" si="86"/>
        <v>0</v>
      </c>
      <c r="M480" s="809">
        <v>0</v>
      </c>
      <c r="N480" s="809">
        <v>0</v>
      </c>
    </row>
    <row r="481" spans="1:14" s="812" customFormat="1" ht="15.6" hidden="1" customHeight="1">
      <c r="A481" s="1286"/>
      <c r="B481" s="1292"/>
      <c r="C481" s="1260"/>
      <c r="D481" s="1292"/>
      <c r="E481" s="1256"/>
      <c r="F481" s="1257"/>
      <c r="G481" s="852" t="s">
        <v>22</v>
      </c>
      <c r="H481" s="808">
        <f t="shared" si="84"/>
        <v>0</v>
      </c>
      <c r="I481" s="809">
        <f t="shared" si="85"/>
        <v>0</v>
      </c>
      <c r="J481" s="809">
        <v>0</v>
      </c>
      <c r="K481" s="809">
        <v>0</v>
      </c>
      <c r="L481" s="809">
        <f t="shared" si="86"/>
        <v>0</v>
      </c>
      <c r="M481" s="809">
        <v>0</v>
      </c>
      <c r="N481" s="809">
        <v>0</v>
      </c>
    </row>
    <row r="482" spans="1:14" s="721" customFormat="1" ht="15.6" hidden="1" customHeight="1">
      <c r="A482" s="1282"/>
      <c r="B482" s="1354"/>
      <c r="C482" s="1284"/>
      <c r="D482" s="1354"/>
      <c r="E482" s="1258"/>
      <c r="F482" s="1259"/>
      <c r="G482" s="862" t="s">
        <v>23</v>
      </c>
      <c r="H482" s="779">
        <f t="shared" si="84"/>
        <v>198572</v>
      </c>
      <c r="I482" s="780">
        <f t="shared" si="85"/>
        <v>198572</v>
      </c>
      <c r="J482" s="780">
        <f>J480+J481</f>
        <v>198572</v>
      </c>
      <c r="K482" s="780">
        <f>K480+K481</f>
        <v>0</v>
      </c>
      <c r="L482" s="780">
        <f t="shared" si="86"/>
        <v>0</v>
      </c>
      <c r="M482" s="780">
        <f>M480+M481</f>
        <v>0</v>
      </c>
      <c r="N482" s="780">
        <f>N480+N481</f>
        <v>0</v>
      </c>
    </row>
    <row r="483" spans="1:14" s="812" customFormat="1" ht="14.45" hidden="1" customHeight="1">
      <c r="A483" s="1286"/>
      <c r="B483" s="1287"/>
      <c r="C483" s="1260"/>
      <c r="D483" s="1261"/>
      <c r="E483" s="1254" t="s">
        <v>1145</v>
      </c>
      <c r="F483" s="1255"/>
      <c r="G483" s="852" t="s">
        <v>21</v>
      </c>
      <c r="H483" s="808">
        <f>I483+L483</f>
        <v>25000</v>
      </c>
      <c r="I483" s="809">
        <f>J483+K483</f>
        <v>25000</v>
      </c>
      <c r="J483" s="809">
        <v>0</v>
      </c>
      <c r="K483" s="809">
        <v>25000</v>
      </c>
      <c r="L483" s="809">
        <f>M483+N483</f>
        <v>0</v>
      </c>
      <c r="M483" s="809">
        <v>0</v>
      </c>
      <c r="N483" s="809">
        <v>0</v>
      </c>
    </row>
    <row r="484" spans="1:14" s="812" customFormat="1" ht="14.45" hidden="1" customHeight="1">
      <c r="A484" s="1286"/>
      <c r="B484" s="1292"/>
      <c r="C484" s="1260"/>
      <c r="D484" s="1292"/>
      <c r="E484" s="1256"/>
      <c r="F484" s="1257"/>
      <c r="G484" s="852" t="s">
        <v>22</v>
      </c>
      <c r="H484" s="808">
        <f>I484+L484</f>
        <v>0</v>
      </c>
      <c r="I484" s="809">
        <f>J484+K484</f>
        <v>0</v>
      </c>
      <c r="J484" s="809">
        <v>0</v>
      </c>
      <c r="K484" s="809">
        <v>0</v>
      </c>
      <c r="L484" s="809">
        <f>M484+N484</f>
        <v>0</v>
      </c>
      <c r="M484" s="809">
        <v>0</v>
      </c>
      <c r="N484" s="809">
        <v>0</v>
      </c>
    </row>
    <row r="485" spans="1:14" s="721" customFormat="1" ht="14.45" hidden="1" customHeight="1">
      <c r="A485" s="1282"/>
      <c r="B485" s="1354"/>
      <c r="C485" s="1284"/>
      <c r="D485" s="1354"/>
      <c r="E485" s="1258"/>
      <c r="F485" s="1259"/>
      <c r="G485" s="862" t="s">
        <v>23</v>
      </c>
      <c r="H485" s="779">
        <f>I485+L485</f>
        <v>25000</v>
      </c>
      <c r="I485" s="780">
        <f>J485+K485</f>
        <v>25000</v>
      </c>
      <c r="J485" s="780">
        <f>J483+J484</f>
        <v>0</v>
      </c>
      <c r="K485" s="780">
        <f>K483+K484</f>
        <v>25000</v>
      </c>
      <c r="L485" s="780">
        <f>M485+N485</f>
        <v>0</v>
      </c>
      <c r="M485" s="780">
        <f>M483+M484</f>
        <v>0</v>
      </c>
      <c r="N485" s="780">
        <f>N483+N484</f>
        <v>0</v>
      </c>
    </row>
    <row r="486" spans="1:14" s="721" customFormat="1" ht="15" customHeight="1">
      <c r="A486" s="1282"/>
      <c r="B486" s="1283"/>
      <c r="C486" s="1280" t="s">
        <v>1092</v>
      </c>
      <c r="D486" s="1281"/>
      <c r="E486" s="1254" t="s">
        <v>1146</v>
      </c>
      <c r="F486" s="1255"/>
      <c r="G486" s="860" t="s">
        <v>21</v>
      </c>
      <c r="H486" s="808">
        <f t="shared" si="84"/>
        <v>200000</v>
      </c>
      <c r="I486" s="809">
        <f t="shared" si="85"/>
        <v>0</v>
      </c>
      <c r="J486" s="809">
        <v>0</v>
      </c>
      <c r="K486" s="809">
        <v>0</v>
      </c>
      <c r="L486" s="809">
        <f t="shared" si="86"/>
        <v>200000</v>
      </c>
      <c r="M486" s="809">
        <v>0</v>
      </c>
      <c r="N486" s="809">
        <v>200000</v>
      </c>
    </row>
    <row r="487" spans="1:14" s="721" customFormat="1" ht="15" customHeight="1">
      <c r="A487" s="1282"/>
      <c r="B487" s="1283"/>
      <c r="C487" s="1284"/>
      <c r="D487" s="1285"/>
      <c r="E487" s="1288"/>
      <c r="F487" s="1289"/>
      <c r="G487" s="860" t="s">
        <v>22</v>
      </c>
      <c r="H487" s="808">
        <f t="shared" ref="H487:H562" si="87">I487+L487</f>
        <v>-6040</v>
      </c>
      <c r="I487" s="809">
        <f t="shared" ref="I487:I562" si="88">J487+K487</f>
        <v>0</v>
      </c>
      <c r="J487" s="809">
        <v>0</v>
      </c>
      <c r="K487" s="809">
        <v>0</v>
      </c>
      <c r="L487" s="809">
        <f t="shared" ref="L487:L562" si="89">M487+N487</f>
        <v>-6040</v>
      </c>
      <c r="M487" s="809">
        <v>0</v>
      </c>
      <c r="N487" s="809">
        <v>-6040</v>
      </c>
    </row>
    <row r="488" spans="1:14" s="721" customFormat="1" ht="15" customHeight="1">
      <c r="A488" s="1282"/>
      <c r="B488" s="1283"/>
      <c r="C488" s="1284"/>
      <c r="D488" s="1285"/>
      <c r="E488" s="1290"/>
      <c r="F488" s="1291"/>
      <c r="G488" s="811" t="s">
        <v>23</v>
      </c>
      <c r="H488" s="808">
        <f t="shared" si="87"/>
        <v>193960</v>
      </c>
      <c r="I488" s="809">
        <f t="shared" si="88"/>
        <v>0</v>
      </c>
      <c r="J488" s="809">
        <f>J486+J487</f>
        <v>0</v>
      </c>
      <c r="K488" s="809">
        <f>K486+K487</f>
        <v>0</v>
      </c>
      <c r="L488" s="809">
        <f t="shared" si="89"/>
        <v>193960</v>
      </c>
      <c r="M488" s="809">
        <f>M486+M487</f>
        <v>0</v>
      </c>
      <c r="N488" s="809">
        <f>N486+N487</f>
        <v>193960</v>
      </c>
    </row>
    <row r="489" spans="1:14" s="721" customFormat="1" ht="15" customHeight="1">
      <c r="A489" s="1282"/>
      <c r="B489" s="1283"/>
      <c r="C489" s="1284"/>
      <c r="D489" s="1285"/>
      <c r="E489" s="1254" t="s">
        <v>1147</v>
      </c>
      <c r="F489" s="1255"/>
      <c r="G489" s="860" t="s">
        <v>21</v>
      </c>
      <c r="H489" s="779">
        <f t="shared" si="87"/>
        <v>675000</v>
      </c>
      <c r="I489" s="780">
        <f t="shared" si="88"/>
        <v>175000</v>
      </c>
      <c r="J489" s="780">
        <v>0</v>
      </c>
      <c r="K489" s="780">
        <v>175000</v>
      </c>
      <c r="L489" s="780">
        <f t="shared" si="89"/>
        <v>500000</v>
      </c>
      <c r="M489" s="780">
        <v>0</v>
      </c>
      <c r="N489" s="780">
        <v>500000</v>
      </c>
    </row>
    <row r="490" spans="1:14" s="721" customFormat="1" ht="15" customHeight="1">
      <c r="A490" s="1282"/>
      <c r="B490" s="1283"/>
      <c r="C490" s="1284"/>
      <c r="D490" s="1285"/>
      <c r="E490" s="1288"/>
      <c r="F490" s="1289"/>
      <c r="G490" s="860" t="s">
        <v>22</v>
      </c>
      <c r="H490" s="779">
        <f t="shared" si="87"/>
        <v>-73796</v>
      </c>
      <c r="I490" s="780">
        <f t="shared" si="88"/>
        <v>-7630</v>
      </c>
      <c r="J490" s="780">
        <v>0</v>
      </c>
      <c r="K490" s="780">
        <v>-7630</v>
      </c>
      <c r="L490" s="780">
        <f t="shared" si="89"/>
        <v>-66166</v>
      </c>
      <c r="M490" s="780">
        <v>0</v>
      </c>
      <c r="N490" s="780">
        <v>-66166</v>
      </c>
    </row>
    <row r="491" spans="1:14" s="721" customFormat="1" ht="15" customHeight="1">
      <c r="A491" s="1282"/>
      <c r="B491" s="1283"/>
      <c r="C491" s="1303"/>
      <c r="D491" s="1304"/>
      <c r="E491" s="1290"/>
      <c r="F491" s="1291"/>
      <c r="G491" s="818" t="s">
        <v>23</v>
      </c>
      <c r="H491" s="779">
        <f t="shared" si="87"/>
        <v>601204</v>
      </c>
      <c r="I491" s="780">
        <f t="shared" si="88"/>
        <v>167370</v>
      </c>
      <c r="J491" s="780">
        <f>J489+J490</f>
        <v>0</v>
      </c>
      <c r="K491" s="780">
        <f>K489+K490</f>
        <v>167370</v>
      </c>
      <c r="L491" s="780">
        <f t="shared" si="89"/>
        <v>433834</v>
      </c>
      <c r="M491" s="780">
        <f>M489+M490</f>
        <v>0</v>
      </c>
      <c r="N491" s="780">
        <f>N489+N490</f>
        <v>433834</v>
      </c>
    </row>
    <row r="492" spans="1:14" s="721" customFormat="1" ht="18" hidden="1" customHeight="1">
      <c r="A492" s="1282"/>
      <c r="B492" s="1283"/>
      <c r="C492" s="1284" t="s">
        <v>1148</v>
      </c>
      <c r="D492" s="1285"/>
      <c r="E492" s="1288" t="s">
        <v>1149</v>
      </c>
      <c r="F492" s="1289"/>
      <c r="G492" s="863" t="s">
        <v>21</v>
      </c>
      <c r="H492" s="820">
        <f t="shared" si="87"/>
        <v>350000</v>
      </c>
      <c r="I492" s="821">
        <f t="shared" si="88"/>
        <v>0</v>
      </c>
      <c r="J492" s="821">
        <v>0</v>
      </c>
      <c r="K492" s="821">
        <v>0</v>
      </c>
      <c r="L492" s="821">
        <f t="shared" si="89"/>
        <v>350000</v>
      </c>
      <c r="M492" s="821">
        <v>0</v>
      </c>
      <c r="N492" s="821">
        <v>350000</v>
      </c>
    </row>
    <row r="493" spans="1:14" s="721" customFormat="1" ht="18" hidden="1" customHeight="1">
      <c r="A493" s="1282"/>
      <c r="B493" s="1283"/>
      <c r="C493" s="1284"/>
      <c r="D493" s="1285"/>
      <c r="E493" s="1288"/>
      <c r="F493" s="1289"/>
      <c r="G493" s="860" t="s">
        <v>22</v>
      </c>
      <c r="H493" s="779">
        <f t="shared" si="87"/>
        <v>0</v>
      </c>
      <c r="I493" s="780">
        <f t="shared" si="88"/>
        <v>0</v>
      </c>
      <c r="J493" s="780">
        <v>0</v>
      </c>
      <c r="K493" s="780">
        <v>0</v>
      </c>
      <c r="L493" s="780">
        <f t="shared" si="89"/>
        <v>0</v>
      </c>
      <c r="M493" s="780">
        <v>0</v>
      </c>
      <c r="N493" s="780">
        <v>0</v>
      </c>
    </row>
    <row r="494" spans="1:14" s="721" customFormat="1" ht="18" hidden="1" customHeight="1">
      <c r="A494" s="1282"/>
      <c r="B494" s="1283"/>
      <c r="C494" s="1284"/>
      <c r="D494" s="1285"/>
      <c r="E494" s="1290"/>
      <c r="F494" s="1291"/>
      <c r="G494" s="811" t="s">
        <v>23</v>
      </c>
      <c r="H494" s="808">
        <f t="shared" si="87"/>
        <v>350000</v>
      </c>
      <c r="I494" s="809">
        <f t="shared" si="88"/>
        <v>0</v>
      </c>
      <c r="J494" s="809">
        <f>J492+J493</f>
        <v>0</v>
      </c>
      <c r="K494" s="809">
        <f>K492+K493</f>
        <v>0</v>
      </c>
      <c r="L494" s="809">
        <f t="shared" si="89"/>
        <v>350000</v>
      </c>
      <c r="M494" s="809">
        <f>M492+M493</f>
        <v>0</v>
      </c>
      <c r="N494" s="809">
        <f>N492+N493</f>
        <v>350000</v>
      </c>
    </row>
    <row r="495" spans="1:14" s="721" customFormat="1" ht="18" hidden="1" customHeight="1">
      <c r="A495" s="1282"/>
      <c r="B495" s="1283"/>
      <c r="C495" s="1280" t="s">
        <v>1150</v>
      </c>
      <c r="D495" s="1281"/>
      <c r="E495" s="1254" t="s">
        <v>1151</v>
      </c>
      <c r="F495" s="1255"/>
      <c r="G495" s="860" t="s">
        <v>21</v>
      </c>
      <c r="H495" s="808">
        <f t="shared" si="87"/>
        <v>30000</v>
      </c>
      <c r="I495" s="809">
        <f t="shared" si="88"/>
        <v>30000</v>
      </c>
      <c r="J495" s="809">
        <v>0</v>
      </c>
      <c r="K495" s="809">
        <v>30000</v>
      </c>
      <c r="L495" s="809">
        <f t="shared" si="89"/>
        <v>0</v>
      </c>
      <c r="M495" s="809">
        <v>0</v>
      </c>
      <c r="N495" s="809">
        <v>0</v>
      </c>
    </row>
    <row r="496" spans="1:14" s="721" customFormat="1" ht="18" hidden="1" customHeight="1">
      <c r="A496" s="1282"/>
      <c r="B496" s="1283"/>
      <c r="C496" s="1284"/>
      <c r="D496" s="1285"/>
      <c r="E496" s="1288"/>
      <c r="F496" s="1289"/>
      <c r="G496" s="860" t="s">
        <v>22</v>
      </c>
      <c r="H496" s="808">
        <f t="shared" si="87"/>
        <v>0</v>
      </c>
      <c r="I496" s="809">
        <f t="shared" si="88"/>
        <v>0</v>
      </c>
      <c r="J496" s="809">
        <v>0</v>
      </c>
      <c r="K496" s="809">
        <v>0</v>
      </c>
      <c r="L496" s="809">
        <f t="shared" si="89"/>
        <v>0</v>
      </c>
      <c r="M496" s="809">
        <v>0</v>
      </c>
      <c r="N496" s="809">
        <v>0</v>
      </c>
    </row>
    <row r="497" spans="1:14" s="721" customFormat="1" ht="18" hidden="1" customHeight="1">
      <c r="A497" s="1282"/>
      <c r="B497" s="1283"/>
      <c r="C497" s="1284"/>
      <c r="D497" s="1285"/>
      <c r="E497" s="1290"/>
      <c r="F497" s="1291"/>
      <c r="G497" s="811" t="s">
        <v>23</v>
      </c>
      <c r="H497" s="808">
        <f t="shared" si="87"/>
        <v>30000</v>
      </c>
      <c r="I497" s="809">
        <f t="shared" si="88"/>
        <v>30000</v>
      </c>
      <c r="J497" s="809">
        <f>J495+J496</f>
        <v>0</v>
      </c>
      <c r="K497" s="809">
        <f>K495+K496</f>
        <v>30000</v>
      </c>
      <c r="L497" s="809">
        <f t="shared" si="89"/>
        <v>0</v>
      </c>
      <c r="M497" s="809">
        <f>M495+M496</f>
        <v>0</v>
      </c>
      <c r="N497" s="809">
        <f>N495+N496</f>
        <v>0</v>
      </c>
    </row>
    <row r="498" spans="1:14" s="812" customFormat="1" ht="18" hidden="1" customHeight="1">
      <c r="A498" s="1286"/>
      <c r="B498" s="1287"/>
      <c r="C498" s="1260"/>
      <c r="D498" s="1261"/>
      <c r="E498" s="1254" t="s">
        <v>1152</v>
      </c>
      <c r="F498" s="1255"/>
      <c r="G498" s="860" t="s">
        <v>21</v>
      </c>
      <c r="H498" s="779">
        <f t="shared" si="87"/>
        <v>70000</v>
      </c>
      <c r="I498" s="780">
        <f t="shared" si="88"/>
        <v>0</v>
      </c>
      <c r="J498" s="780">
        <v>0</v>
      </c>
      <c r="K498" s="780">
        <v>0</v>
      </c>
      <c r="L498" s="780">
        <f t="shared" si="89"/>
        <v>70000</v>
      </c>
      <c r="M498" s="780">
        <v>0</v>
      </c>
      <c r="N498" s="780">
        <v>70000</v>
      </c>
    </row>
    <row r="499" spans="1:14" s="812" customFormat="1" ht="18" hidden="1" customHeight="1">
      <c r="A499" s="1286"/>
      <c r="B499" s="1287"/>
      <c r="C499" s="1260"/>
      <c r="D499" s="1261"/>
      <c r="E499" s="1288"/>
      <c r="F499" s="1289"/>
      <c r="G499" s="860" t="s">
        <v>22</v>
      </c>
      <c r="H499" s="779">
        <f t="shared" si="87"/>
        <v>0</v>
      </c>
      <c r="I499" s="780">
        <f t="shared" si="88"/>
        <v>0</v>
      </c>
      <c r="J499" s="780">
        <v>0</v>
      </c>
      <c r="K499" s="780">
        <v>0</v>
      </c>
      <c r="L499" s="780">
        <f t="shared" si="89"/>
        <v>0</v>
      </c>
      <c r="M499" s="780">
        <v>0</v>
      </c>
      <c r="N499" s="780">
        <v>0</v>
      </c>
    </row>
    <row r="500" spans="1:14" s="721" customFormat="1" ht="18" hidden="1" customHeight="1">
      <c r="A500" s="1282"/>
      <c r="B500" s="1283"/>
      <c r="C500" s="1284"/>
      <c r="D500" s="1285"/>
      <c r="E500" s="1290"/>
      <c r="F500" s="1291"/>
      <c r="G500" s="811" t="s">
        <v>23</v>
      </c>
      <c r="H500" s="808">
        <f t="shared" si="87"/>
        <v>70000</v>
      </c>
      <c r="I500" s="809">
        <f t="shared" si="88"/>
        <v>0</v>
      </c>
      <c r="J500" s="809">
        <f>J498+J499</f>
        <v>0</v>
      </c>
      <c r="K500" s="809">
        <f>K498+K499</f>
        <v>0</v>
      </c>
      <c r="L500" s="809">
        <f t="shared" si="89"/>
        <v>70000</v>
      </c>
      <c r="M500" s="809">
        <f>M498+M499</f>
        <v>0</v>
      </c>
      <c r="N500" s="809">
        <f>N498+N499</f>
        <v>70000</v>
      </c>
    </row>
    <row r="501" spans="1:14" s="812" customFormat="1" ht="18" hidden="1" customHeight="1">
      <c r="A501" s="1286"/>
      <c r="B501" s="1287"/>
      <c r="C501" s="1260"/>
      <c r="D501" s="1261"/>
      <c r="E501" s="1254" t="s">
        <v>1153</v>
      </c>
      <c r="F501" s="1255"/>
      <c r="G501" s="860" t="s">
        <v>21</v>
      </c>
      <c r="H501" s="779">
        <f t="shared" si="87"/>
        <v>260000</v>
      </c>
      <c r="I501" s="780">
        <f t="shared" si="88"/>
        <v>0</v>
      </c>
      <c r="J501" s="780">
        <v>0</v>
      </c>
      <c r="K501" s="780">
        <v>0</v>
      </c>
      <c r="L501" s="780">
        <f t="shared" si="89"/>
        <v>260000</v>
      </c>
      <c r="M501" s="780">
        <v>0</v>
      </c>
      <c r="N501" s="780">
        <v>260000</v>
      </c>
    </row>
    <row r="502" spans="1:14" s="812" customFormat="1" ht="18" hidden="1" customHeight="1">
      <c r="A502" s="1286"/>
      <c r="B502" s="1287"/>
      <c r="C502" s="1260"/>
      <c r="D502" s="1261"/>
      <c r="E502" s="1288"/>
      <c r="F502" s="1289"/>
      <c r="G502" s="860" t="s">
        <v>22</v>
      </c>
      <c r="H502" s="779">
        <f t="shared" si="87"/>
        <v>0</v>
      </c>
      <c r="I502" s="780">
        <f t="shared" si="88"/>
        <v>0</v>
      </c>
      <c r="J502" s="780">
        <v>0</v>
      </c>
      <c r="K502" s="780">
        <v>0</v>
      </c>
      <c r="L502" s="780">
        <f t="shared" si="89"/>
        <v>0</v>
      </c>
      <c r="M502" s="780">
        <v>0</v>
      </c>
      <c r="N502" s="780">
        <v>0</v>
      </c>
    </row>
    <row r="503" spans="1:14" s="721" customFormat="1" ht="18" hidden="1" customHeight="1">
      <c r="A503" s="1282"/>
      <c r="B503" s="1283"/>
      <c r="C503" s="1284"/>
      <c r="D503" s="1285"/>
      <c r="E503" s="1290"/>
      <c r="F503" s="1291"/>
      <c r="G503" s="811" t="s">
        <v>23</v>
      </c>
      <c r="H503" s="808">
        <f t="shared" si="87"/>
        <v>260000</v>
      </c>
      <c r="I503" s="809">
        <f t="shared" si="88"/>
        <v>0</v>
      </c>
      <c r="J503" s="809">
        <f>J501+J502</f>
        <v>0</v>
      </c>
      <c r="K503" s="809">
        <f>K501+K502</f>
        <v>0</v>
      </c>
      <c r="L503" s="809">
        <f t="shared" si="89"/>
        <v>260000</v>
      </c>
      <c r="M503" s="809">
        <f>M501+M502</f>
        <v>0</v>
      </c>
      <c r="N503" s="809">
        <f>N501+N502</f>
        <v>260000</v>
      </c>
    </row>
    <row r="504" spans="1:14" s="812" customFormat="1" ht="15" customHeight="1">
      <c r="A504" s="1286"/>
      <c r="B504" s="1287"/>
      <c r="C504" s="1252" t="s">
        <v>1150</v>
      </c>
      <c r="D504" s="1253"/>
      <c r="E504" s="1262" t="s">
        <v>1154</v>
      </c>
      <c r="F504" s="1374"/>
      <c r="G504" s="864" t="s">
        <v>21</v>
      </c>
      <c r="H504" s="779">
        <f t="shared" si="87"/>
        <v>40000</v>
      </c>
      <c r="I504" s="780">
        <f t="shared" si="88"/>
        <v>40000</v>
      </c>
      <c r="J504" s="780">
        <v>0</v>
      </c>
      <c r="K504" s="780">
        <v>40000</v>
      </c>
      <c r="L504" s="780">
        <f t="shared" si="89"/>
        <v>0</v>
      </c>
      <c r="M504" s="780">
        <v>0</v>
      </c>
      <c r="N504" s="780">
        <v>0</v>
      </c>
    </row>
    <row r="505" spans="1:14" s="812" customFormat="1" ht="15" customHeight="1">
      <c r="A505" s="1286"/>
      <c r="B505" s="1292"/>
      <c r="C505" s="1260"/>
      <c r="D505" s="1292"/>
      <c r="E505" s="1256"/>
      <c r="F505" s="1257"/>
      <c r="G505" s="864" t="s">
        <v>22</v>
      </c>
      <c r="H505" s="779">
        <f t="shared" si="87"/>
        <v>-4160</v>
      </c>
      <c r="I505" s="780">
        <f t="shared" si="88"/>
        <v>-4160</v>
      </c>
      <c r="J505" s="780">
        <v>0</v>
      </c>
      <c r="K505" s="780">
        <v>-4160</v>
      </c>
      <c r="L505" s="780">
        <f t="shared" si="89"/>
        <v>0</v>
      </c>
      <c r="M505" s="780">
        <v>0</v>
      </c>
      <c r="N505" s="780">
        <v>0</v>
      </c>
    </row>
    <row r="506" spans="1:14" s="721" customFormat="1" ht="15" customHeight="1">
      <c r="A506" s="1282"/>
      <c r="B506" s="1354"/>
      <c r="C506" s="1284"/>
      <c r="D506" s="1354"/>
      <c r="E506" s="1258"/>
      <c r="F506" s="1259"/>
      <c r="G506" s="862" t="s">
        <v>23</v>
      </c>
      <c r="H506" s="779">
        <f t="shared" si="87"/>
        <v>35840</v>
      </c>
      <c r="I506" s="780">
        <f t="shared" si="88"/>
        <v>35840</v>
      </c>
      <c r="J506" s="780">
        <f>J504+J505</f>
        <v>0</v>
      </c>
      <c r="K506" s="780">
        <f>K504+K505</f>
        <v>35840</v>
      </c>
      <c r="L506" s="780">
        <f t="shared" si="89"/>
        <v>0</v>
      </c>
      <c r="M506" s="780">
        <f>M504+M505</f>
        <v>0</v>
      </c>
      <c r="N506" s="780">
        <f>N504+N505</f>
        <v>0</v>
      </c>
    </row>
    <row r="507" spans="1:14" s="812" customFormat="1" ht="15" customHeight="1">
      <c r="A507" s="1286"/>
      <c r="B507" s="1287"/>
      <c r="C507" s="1260"/>
      <c r="D507" s="1261"/>
      <c r="E507" s="1262" t="s">
        <v>1155</v>
      </c>
      <c r="F507" s="1374"/>
      <c r="G507" s="864" t="s">
        <v>21</v>
      </c>
      <c r="H507" s="779">
        <f>I507+L507</f>
        <v>190000</v>
      </c>
      <c r="I507" s="780">
        <f>J507+K507</f>
        <v>190000</v>
      </c>
      <c r="J507" s="780">
        <v>0</v>
      </c>
      <c r="K507" s="780">
        <v>190000</v>
      </c>
      <c r="L507" s="780">
        <f>M507+N507</f>
        <v>0</v>
      </c>
      <c r="M507" s="780">
        <v>0</v>
      </c>
      <c r="N507" s="780">
        <v>0</v>
      </c>
    </row>
    <row r="508" spans="1:14" s="812" customFormat="1" ht="15" customHeight="1">
      <c r="A508" s="1286"/>
      <c r="B508" s="1292"/>
      <c r="C508" s="1260"/>
      <c r="D508" s="1292"/>
      <c r="E508" s="1256"/>
      <c r="F508" s="1257"/>
      <c r="G508" s="864" t="s">
        <v>22</v>
      </c>
      <c r="H508" s="779">
        <f>I508+L508</f>
        <v>-190000</v>
      </c>
      <c r="I508" s="780">
        <f>J508+K508</f>
        <v>-190000</v>
      </c>
      <c r="J508" s="780">
        <v>0</v>
      </c>
      <c r="K508" s="780">
        <v>-190000</v>
      </c>
      <c r="L508" s="780">
        <f>M508+N508</f>
        <v>0</v>
      </c>
      <c r="M508" s="780">
        <v>0</v>
      </c>
      <c r="N508" s="780">
        <v>0</v>
      </c>
    </row>
    <row r="509" spans="1:14" s="721" customFormat="1" ht="15" customHeight="1">
      <c r="A509" s="1301"/>
      <c r="B509" s="1375"/>
      <c r="C509" s="1303"/>
      <c r="D509" s="1375"/>
      <c r="E509" s="1258"/>
      <c r="F509" s="1259"/>
      <c r="G509" s="862" t="s">
        <v>23</v>
      </c>
      <c r="H509" s="779">
        <f>I509+L509</f>
        <v>0</v>
      </c>
      <c r="I509" s="780">
        <f>J509+K509</f>
        <v>0</v>
      </c>
      <c r="J509" s="780">
        <f>J507+J508</f>
        <v>0</v>
      </c>
      <c r="K509" s="780">
        <f>K507+K508</f>
        <v>0</v>
      </c>
      <c r="L509" s="780">
        <f>M509+N509</f>
        <v>0</v>
      </c>
      <c r="M509" s="780">
        <f>M507+M508</f>
        <v>0</v>
      </c>
      <c r="N509" s="780">
        <f>N507+N508</f>
        <v>0</v>
      </c>
    </row>
    <row r="510" spans="1:14" s="812" customFormat="1" ht="18" hidden="1" customHeight="1">
      <c r="A510" s="1337" t="s">
        <v>282</v>
      </c>
      <c r="B510" s="1338"/>
      <c r="C510" s="1252" t="s">
        <v>1156</v>
      </c>
      <c r="D510" s="1253"/>
      <c r="E510" s="1254" t="s">
        <v>1157</v>
      </c>
      <c r="F510" s="1255"/>
      <c r="G510" s="860" t="s">
        <v>21</v>
      </c>
      <c r="H510" s="808">
        <f t="shared" si="87"/>
        <v>30000</v>
      </c>
      <c r="I510" s="809">
        <f t="shared" si="88"/>
        <v>30000</v>
      </c>
      <c r="J510" s="809">
        <v>0</v>
      </c>
      <c r="K510" s="809">
        <v>30000</v>
      </c>
      <c r="L510" s="809">
        <f t="shared" si="89"/>
        <v>0</v>
      </c>
      <c r="M510" s="809">
        <v>0</v>
      </c>
      <c r="N510" s="809">
        <v>0</v>
      </c>
    </row>
    <row r="511" spans="1:14" s="812" customFormat="1" ht="18" hidden="1" customHeight="1">
      <c r="A511" s="1286"/>
      <c r="B511" s="1287"/>
      <c r="C511" s="1260"/>
      <c r="D511" s="1261"/>
      <c r="E511" s="1288"/>
      <c r="F511" s="1289"/>
      <c r="G511" s="860" t="s">
        <v>22</v>
      </c>
      <c r="H511" s="808">
        <f t="shared" si="87"/>
        <v>0</v>
      </c>
      <c r="I511" s="809">
        <f t="shared" si="88"/>
        <v>0</v>
      </c>
      <c r="J511" s="809">
        <v>0</v>
      </c>
      <c r="K511" s="809">
        <v>0</v>
      </c>
      <c r="L511" s="809">
        <f t="shared" si="89"/>
        <v>0</v>
      </c>
      <c r="M511" s="809">
        <v>0</v>
      </c>
      <c r="N511" s="809">
        <v>0</v>
      </c>
    </row>
    <row r="512" spans="1:14" s="721" customFormat="1" ht="18" hidden="1" customHeight="1">
      <c r="A512" s="1282"/>
      <c r="B512" s="1283"/>
      <c r="C512" s="1284"/>
      <c r="D512" s="1285"/>
      <c r="E512" s="1290"/>
      <c r="F512" s="1291"/>
      <c r="G512" s="811" t="s">
        <v>23</v>
      </c>
      <c r="H512" s="808">
        <f t="shared" si="87"/>
        <v>30000</v>
      </c>
      <c r="I512" s="809">
        <f t="shared" si="88"/>
        <v>30000</v>
      </c>
      <c r="J512" s="809">
        <f>J510+J511</f>
        <v>0</v>
      </c>
      <c r="K512" s="809">
        <f>K510+K511</f>
        <v>30000</v>
      </c>
      <c r="L512" s="809">
        <f t="shared" si="89"/>
        <v>0</v>
      </c>
      <c r="M512" s="809">
        <f>M510+M511</f>
        <v>0</v>
      </c>
      <c r="N512" s="809">
        <f>N510+N511</f>
        <v>0</v>
      </c>
    </row>
    <row r="513" spans="1:14" s="721" customFormat="1" ht="15" customHeight="1">
      <c r="A513" s="1278" t="s">
        <v>286</v>
      </c>
      <c r="B513" s="1279"/>
      <c r="C513" s="1280" t="s">
        <v>1158</v>
      </c>
      <c r="D513" s="1281"/>
      <c r="E513" s="1254" t="s">
        <v>1159</v>
      </c>
      <c r="F513" s="1255"/>
      <c r="G513" s="860" t="s">
        <v>21</v>
      </c>
      <c r="H513" s="808">
        <f t="shared" si="87"/>
        <v>444000</v>
      </c>
      <c r="I513" s="809">
        <f t="shared" si="88"/>
        <v>330806</v>
      </c>
      <c r="J513" s="809">
        <v>0</v>
      </c>
      <c r="K513" s="809">
        <v>330806</v>
      </c>
      <c r="L513" s="809">
        <f t="shared" si="89"/>
        <v>113194</v>
      </c>
      <c r="M513" s="809">
        <v>0</v>
      </c>
      <c r="N513" s="809">
        <v>113194</v>
      </c>
    </row>
    <row r="514" spans="1:14" s="721" customFormat="1" ht="15" customHeight="1">
      <c r="A514" s="1282"/>
      <c r="B514" s="1283"/>
      <c r="C514" s="1284"/>
      <c r="D514" s="1285"/>
      <c r="E514" s="1288"/>
      <c r="F514" s="1289"/>
      <c r="G514" s="860" t="s">
        <v>22</v>
      </c>
      <c r="H514" s="808">
        <f t="shared" si="87"/>
        <v>-274240</v>
      </c>
      <c r="I514" s="809">
        <f t="shared" si="88"/>
        <v>-274240</v>
      </c>
      <c r="J514" s="809">
        <v>0</v>
      </c>
      <c r="K514" s="809">
        <v>-274240</v>
      </c>
      <c r="L514" s="809">
        <f t="shared" si="89"/>
        <v>0</v>
      </c>
      <c r="M514" s="809">
        <v>0</v>
      </c>
      <c r="N514" s="809">
        <v>0</v>
      </c>
    </row>
    <row r="515" spans="1:14" s="721" customFormat="1" ht="15" customHeight="1">
      <c r="A515" s="1301"/>
      <c r="B515" s="1302"/>
      <c r="C515" s="1303"/>
      <c r="D515" s="1304"/>
      <c r="E515" s="1290"/>
      <c r="F515" s="1291"/>
      <c r="G515" s="818" t="s">
        <v>23</v>
      </c>
      <c r="H515" s="779">
        <f t="shared" si="87"/>
        <v>169760</v>
      </c>
      <c r="I515" s="780">
        <f t="shared" si="88"/>
        <v>56566</v>
      </c>
      <c r="J515" s="780">
        <f>J513+J514</f>
        <v>0</v>
      </c>
      <c r="K515" s="780">
        <f>K513+K514</f>
        <v>56566</v>
      </c>
      <c r="L515" s="780">
        <f t="shared" si="89"/>
        <v>113194</v>
      </c>
      <c r="M515" s="780">
        <f>M513+M514</f>
        <v>0</v>
      </c>
      <c r="N515" s="780">
        <f>N513+N514</f>
        <v>113194</v>
      </c>
    </row>
    <row r="516" spans="1:14" s="812" customFormat="1" ht="18" hidden="1" customHeight="1">
      <c r="A516" s="1286"/>
      <c r="B516" s="1287"/>
      <c r="C516" s="1260" t="s">
        <v>1101</v>
      </c>
      <c r="D516" s="1261"/>
      <c r="E516" s="1288" t="s">
        <v>1160</v>
      </c>
      <c r="F516" s="1289"/>
      <c r="G516" s="863" t="s">
        <v>21</v>
      </c>
      <c r="H516" s="849">
        <f t="shared" si="87"/>
        <v>100000</v>
      </c>
      <c r="I516" s="850">
        <f t="shared" si="88"/>
        <v>0</v>
      </c>
      <c r="J516" s="850">
        <v>0</v>
      </c>
      <c r="K516" s="850">
        <v>0</v>
      </c>
      <c r="L516" s="850">
        <f t="shared" si="89"/>
        <v>100000</v>
      </c>
      <c r="M516" s="850">
        <v>0</v>
      </c>
      <c r="N516" s="850">
        <v>100000</v>
      </c>
    </row>
    <row r="517" spans="1:14" s="812" customFormat="1" ht="18" hidden="1" customHeight="1">
      <c r="A517" s="1286"/>
      <c r="B517" s="1287"/>
      <c r="C517" s="1260"/>
      <c r="D517" s="1261"/>
      <c r="E517" s="1288"/>
      <c r="F517" s="1289"/>
      <c r="G517" s="860" t="s">
        <v>22</v>
      </c>
      <c r="H517" s="808">
        <f t="shared" si="87"/>
        <v>0</v>
      </c>
      <c r="I517" s="809">
        <f t="shared" si="88"/>
        <v>0</v>
      </c>
      <c r="J517" s="809">
        <v>0</v>
      </c>
      <c r="K517" s="809">
        <v>0</v>
      </c>
      <c r="L517" s="809">
        <f t="shared" si="89"/>
        <v>0</v>
      </c>
      <c r="M517" s="809">
        <v>0</v>
      </c>
      <c r="N517" s="809">
        <v>0</v>
      </c>
    </row>
    <row r="518" spans="1:14" s="721" customFormat="1" ht="18" hidden="1" customHeight="1">
      <c r="A518" s="1282"/>
      <c r="B518" s="1283"/>
      <c r="C518" s="1284"/>
      <c r="D518" s="1285"/>
      <c r="E518" s="1290"/>
      <c r="F518" s="1291"/>
      <c r="G518" s="811" t="s">
        <v>23</v>
      </c>
      <c r="H518" s="808">
        <f t="shared" si="87"/>
        <v>100000</v>
      </c>
      <c r="I518" s="809">
        <f t="shared" si="88"/>
        <v>0</v>
      </c>
      <c r="J518" s="809">
        <f>J516+J517</f>
        <v>0</v>
      </c>
      <c r="K518" s="809">
        <f>K516+K517</f>
        <v>0</v>
      </c>
      <c r="L518" s="809">
        <f t="shared" si="89"/>
        <v>100000</v>
      </c>
      <c r="M518" s="809">
        <f>M516+M517</f>
        <v>0</v>
      </c>
      <c r="N518" s="809">
        <f>N516+N517</f>
        <v>100000</v>
      </c>
    </row>
    <row r="519" spans="1:14" s="721" customFormat="1" ht="18" hidden="1" customHeight="1">
      <c r="A519" s="1278" t="s">
        <v>290</v>
      </c>
      <c r="B519" s="1279"/>
      <c r="C519" s="1280" t="s">
        <v>1161</v>
      </c>
      <c r="D519" s="1281"/>
      <c r="E519" s="1254" t="s">
        <v>1162</v>
      </c>
      <c r="F519" s="1255"/>
      <c r="G519" s="860" t="s">
        <v>21</v>
      </c>
      <c r="H519" s="808">
        <f t="shared" si="87"/>
        <v>219000</v>
      </c>
      <c r="I519" s="809">
        <f t="shared" si="88"/>
        <v>219000</v>
      </c>
      <c r="J519" s="809">
        <v>0</v>
      </c>
      <c r="K519" s="809">
        <v>219000</v>
      </c>
      <c r="L519" s="809">
        <f t="shared" si="89"/>
        <v>0</v>
      </c>
      <c r="M519" s="809">
        <v>0</v>
      </c>
      <c r="N519" s="809">
        <v>0</v>
      </c>
    </row>
    <row r="520" spans="1:14" s="721" customFormat="1" ht="18" hidden="1" customHeight="1">
      <c r="A520" s="1282"/>
      <c r="B520" s="1283"/>
      <c r="C520" s="1284"/>
      <c r="D520" s="1285"/>
      <c r="E520" s="1288"/>
      <c r="F520" s="1289"/>
      <c r="G520" s="860" t="s">
        <v>22</v>
      </c>
      <c r="H520" s="808">
        <f t="shared" si="87"/>
        <v>0</v>
      </c>
      <c r="I520" s="809">
        <f t="shared" si="88"/>
        <v>0</v>
      </c>
      <c r="J520" s="809">
        <v>0</v>
      </c>
      <c r="K520" s="809">
        <v>0</v>
      </c>
      <c r="L520" s="809">
        <f t="shared" si="89"/>
        <v>0</v>
      </c>
      <c r="M520" s="809">
        <v>0</v>
      </c>
      <c r="N520" s="809">
        <v>0</v>
      </c>
    </row>
    <row r="521" spans="1:14" s="721" customFormat="1" ht="18" hidden="1" customHeight="1">
      <c r="A521" s="1282"/>
      <c r="B521" s="1283"/>
      <c r="C521" s="1284"/>
      <c r="D521" s="1285"/>
      <c r="E521" s="1290"/>
      <c r="F521" s="1291"/>
      <c r="G521" s="811" t="s">
        <v>23</v>
      </c>
      <c r="H521" s="808">
        <f t="shared" si="87"/>
        <v>219000</v>
      </c>
      <c r="I521" s="809">
        <f t="shared" si="88"/>
        <v>219000</v>
      </c>
      <c r="J521" s="809">
        <f>J519+J520</f>
        <v>0</v>
      </c>
      <c r="K521" s="809">
        <f>K519+K520</f>
        <v>219000</v>
      </c>
      <c r="L521" s="809">
        <f t="shared" si="89"/>
        <v>0</v>
      </c>
      <c r="M521" s="809">
        <f>M519+M520</f>
        <v>0</v>
      </c>
      <c r="N521" s="809">
        <f>N519+N520</f>
        <v>0</v>
      </c>
    </row>
    <row r="522" spans="1:14" s="721" customFormat="1" ht="18" hidden="1" customHeight="1">
      <c r="A522" s="1278" t="s">
        <v>449</v>
      </c>
      <c r="B522" s="1279"/>
      <c r="C522" s="1280" t="s">
        <v>450</v>
      </c>
      <c r="D522" s="1281"/>
      <c r="E522" s="1254" t="s">
        <v>1163</v>
      </c>
      <c r="F522" s="1255"/>
      <c r="G522" s="860" t="s">
        <v>21</v>
      </c>
      <c r="H522" s="779">
        <f t="shared" si="87"/>
        <v>430000</v>
      </c>
      <c r="I522" s="780">
        <f t="shared" si="88"/>
        <v>0</v>
      </c>
      <c r="J522" s="780">
        <v>0</v>
      </c>
      <c r="K522" s="780">
        <v>0</v>
      </c>
      <c r="L522" s="780">
        <f t="shared" si="89"/>
        <v>430000</v>
      </c>
      <c r="M522" s="780">
        <v>0</v>
      </c>
      <c r="N522" s="780">
        <v>430000</v>
      </c>
    </row>
    <row r="523" spans="1:14" s="721" customFormat="1" ht="18" hidden="1" customHeight="1">
      <c r="A523" s="1282"/>
      <c r="B523" s="1283"/>
      <c r="C523" s="1284"/>
      <c r="D523" s="1285"/>
      <c r="E523" s="1288"/>
      <c r="F523" s="1289"/>
      <c r="G523" s="860" t="s">
        <v>22</v>
      </c>
      <c r="H523" s="779">
        <f t="shared" si="87"/>
        <v>0</v>
      </c>
      <c r="I523" s="780">
        <f t="shared" si="88"/>
        <v>0</v>
      </c>
      <c r="J523" s="780">
        <v>0</v>
      </c>
      <c r="K523" s="780">
        <v>0</v>
      </c>
      <c r="L523" s="780">
        <f t="shared" si="89"/>
        <v>0</v>
      </c>
      <c r="M523" s="780">
        <v>0</v>
      </c>
      <c r="N523" s="780">
        <v>0</v>
      </c>
    </row>
    <row r="524" spans="1:14" s="721" customFormat="1" ht="18" hidden="1" customHeight="1">
      <c r="A524" s="1282"/>
      <c r="B524" s="1283"/>
      <c r="C524" s="1284"/>
      <c r="D524" s="1285"/>
      <c r="E524" s="1290"/>
      <c r="F524" s="1291"/>
      <c r="G524" s="811" t="s">
        <v>23</v>
      </c>
      <c r="H524" s="808">
        <f t="shared" si="87"/>
        <v>430000</v>
      </c>
      <c r="I524" s="809">
        <f t="shared" si="88"/>
        <v>0</v>
      </c>
      <c r="J524" s="809">
        <f>J522+J523</f>
        <v>0</v>
      </c>
      <c r="K524" s="809">
        <f>K522+K523</f>
        <v>0</v>
      </c>
      <c r="L524" s="809">
        <f t="shared" si="89"/>
        <v>430000</v>
      </c>
      <c r="M524" s="809">
        <f>M522+M523</f>
        <v>0</v>
      </c>
      <c r="N524" s="809">
        <f>N522+N523</f>
        <v>430000</v>
      </c>
    </row>
    <row r="525" spans="1:14" s="721" customFormat="1" ht="15" customHeight="1">
      <c r="A525" s="1278" t="s">
        <v>449</v>
      </c>
      <c r="B525" s="1279"/>
      <c r="C525" s="1280" t="s">
        <v>1102</v>
      </c>
      <c r="D525" s="1281"/>
      <c r="E525" s="1254" t="s">
        <v>1164</v>
      </c>
      <c r="F525" s="1255"/>
      <c r="G525" s="860" t="s">
        <v>21</v>
      </c>
      <c r="H525" s="779">
        <f t="shared" si="87"/>
        <v>91000</v>
      </c>
      <c r="I525" s="780">
        <f t="shared" si="88"/>
        <v>0</v>
      </c>
      <c r="J525" s="780">
        <v>0</v>
      </c>
      <c r="K525" s="780">
        <v>0</v>
      </c>
      <c r="L525" s="780">
        <f t="shared" si="89"/>
        <v>91000</v>
      </c>
      <c r="M525" s="780">
        <v>0</v>
      </c>
      <c r="N525" s="780">
        <v>91000</v>
      </c>
    </row>
    <row r="526" spans="1:14" s="721" customFormat="1" ht="15" customHeight="1">
      <c r="A526" s="1282"/>
      <c r="B526" s="1283"/>
      <c r="C526" s="1284"/>
      <c r="D526" s="1285"/>
      <c r="E526" s="1288"/>
      <c r="F526" s="1289"/>
      <c r="G526" s="860" t="s">
        <v>22</v>
      </c>
      <c r="H526" s="779">
        <f t="shared" si="87"/>
        <v>-6800</v>
      </c>
      <c r="I526" s="780">
        <f t="shared" si="88"/>
        <v>0</v>
      </c>
      <c r="J526" s="780">
        <v>0</v>
      </c>
      <c r="K526" s="780">
        <v>0</v>
      </c>
      <c r="L526" s="780">
        <f t="shared" si="89"/>
        <v>-6800</v>
      </c>
      <c r="M526" s="780">
        <v>0</v>
      </c>
      <c r="N526" s="780">
        <v>-6800</v>
      </c>
    </row>
    <row r="527" spans="1:14" s="721" customFormat="1" ht="15" customHeight="1">
      <c r="A527" s="1282"/>
      <c r="B527" s="1283"/>
      <c r="C527" s="1284"/>
      <c r="D527" s="1285"/>
      <c r="E527" s="1290"/>
      <c r="F527" s="1291"/>
      <c r="G527" s="811" t="s">
        <v>23</v>
      </c>
      <c r="H527" s="808">
        <f t="shared" si="87"/>
        <v>84200</v>
      </c>
      <c r="I527" s="809">
        <f t="shared" si="88"/>
        <v>0</v>
      </c>
      <c r="J527" s="809">
        <f>J525+J526</f>
        <v>0</v>
      </c>
      <c r="K527" s="809">
        <f>K525+K526</f>
        <v>0</v>
      </c>
      <c r="L527" s="809">
        <f t="shared" si="89"/>
        <v>84200</v>
      </c>
      <c r="M527" s="809">
        <f>M525+M526</f>
        <v>0</v>
      </c>
      <c r="N527" s="809">
        <f>N525+N526</f>
        <v>84200</v>
      </c>
    </row>
    <row r="528" spans="1:14" s="721" customFormat="1" ht="15" hidden="1" customHeight="1">
      <c r="A528" s="1282"/>
      <c r="B528" s="1283"/>
      <c r="C528" s="1284"/>
      <c r="D528" s="1285"/>
      <c r="E528" s="1254" t="s">
        <v>1165</v>
      </c>
      <c r="F528" s="1255"/>
      <c r="G528" s="860" t="s">
        <v>21</v>
      </c>
      <c r="H528" s="779">
        <f t="shared" si="87"/>
        <v>250000</v>
      </c>
      <c r="I528" s="780">
        <f t="shared" si="88"/>
        <v>0</v>
      </c>
      <c r="J528" s="780">
        <v>0</v>
      </c>
      <c r="K528" s="780">
        <v>0</v>
      </c>
      <c r="L528" s="780">
        <f t="shared" si="89"/>
        <v>250000</v>
      </c>
      <c r="M528" s="780">
        <v>0</v>
      </c>
      <c r="N528" s="780">
        <v>250000</v>
      </c>
    </row>
    <row r="529" spans="1:14" s="721" customFormat="1" ht="15" hidden="1" customHeight="1">
      <c r="A529" s="1282"/>
      <c r="B529" s="1283"/>
      <c r="C529" s="1284"/>
      <c r="D529" s="1285"/>
      <c r="E529" s="1288"/>
      <c r="F529" s="1289"/>
      <c r="G529" s="860" t="s">
        <v>22</v>
      </c>
      <c r="H529" s="779">
        <f t="shared" si="87"/>
        <v>0</v>
      </c>
      <c r="I529" s="780">
        <f t="shared" si="88"/>
        <v>0</v>
      </c>
      <c r="J529" s="780">
        <v>0</v>
      </c>
      <c r="K529" s="780">
        <v>0</v>
      </c>
      <c r="L529" s="780">
        <f t="shared" si="89"/>
        <v>0</v>
      </c>
      <c r="M529" s="780">
        <v>0</v>
      </c>
      <c r="N529" s="780">
        <v>0</v>
      </c>
    </row>
    <row r="530" spans="1:14" s="721" customFormat="1" ht="15" hidden="1" customHeight="1">
      <c r="A530" s="1282"/>
      <c r="B530" s="1283"/>
      <c r="C530" s="1284"/>
      <c r="D530" s="1285"/>
      <c r="E530" s="1290"/>
      <c r="F530" s="1291"/>
      <c r="G530" s="811" t="s">
        <v>23</v>
      </c>
      <c r="H530" s="808">
        <f t="shared" si="87"/>
        <v>250000</v>
      </c>
      <c r="I530" s="809">
        <f t="shared" si="88"/>
        <v>0</v>
      </c>
      <c r="J530" s="809">
        <f>J528+J529</f>
        <v>0</v>
      </c>
      <c r="K530" s="809">
        <f>K528+K529</f>
        <v>0</v>
      </c>
      <c r="L530" s="809">
        <f t="shared" si="89"/>
        <v>250000</v>
      </c>
      <c r="M530" s="809">
        <f>M528+M529</f>
        <v>0</v>
      </c>
      <c r="N530" s="809">
        <f>N528+N529</f>
        <v>250000</v>
      </c>
    </row>
    <row r="531" spans="1:14" s="721" customFormat="1" ht="15" hidden="1" customHeight="1">
      <c r="A531" s="1282"/>
      <c r="B531" s="1283"/>
      <c r="C531" s="1284"/>
      <c r="D531" s="1285"/>
      <c r="E531" s="1254" t="s">
        <v>1166</v>
      </c>
      <c r="F531" s="1255"/>
      <c r="G531" s="860" t="s">
        <v>21</v>
      </c>
      <c r="H531" s="779">
        <f t="shared" si="87"/>
        <v>150000</v>
      </c>
      <c r="I531" s="780">
        <f t="shared" si="88"/>
        <v>0</v>
      </c>
      <c r="J531" s="780">
        <v>0</v>
      </c>
      <c r="K531" s="780">
        <v>0</v>
      </c>
      <c r="L531" s="780">
        <f t="shared" si="89"/>
        <v>150000</v>
      </c>
      <c r="M531" s="780">
        <v>0</v>
      </c>
      <c r="N531" s="780">
        <v>150000</v>
      </c>
    </row>
    <row r="532" spans="1:14" s="721" customFormat="1" ht="15" hidden="1" customHeight="1">
      <c r="A532" s="1282"/>
      <c r="B532" s="1283"/>
      <c r="C532" s="1284"/>
      <c r="D532" s="1285"/>
      <c r="E532" s="1288"/>
      <c r="F532" s="1289"/>
      <c r="G532" s="860" t="s">
        <v>22</v>
      </c>
      <c r="H532" s="779">
        <f t="shared" si="87"/>
        <v>0</v>
      </c>
      <c r="I532" s="780">
        <f t="shared" si="88"/>
        <v>0</v>
      </c>
      <c r="J532" s="780">
        <v>0</v>
      </c>
      <c r="K532" s="780">
        <v>0</v>
      </c>
      <c r="L532" s="780">
        <f t="shared" si="89"/>
        <v>0</v>
      </c>
      <c r="M532" s="780">
        <v>0</v>
      </c>
      <c r="N532" s="780">
        <v>0</v>
      </c>
    </row>
    <row r="533" spans="1:14" s="721" customFormat="1" ht="15" hidden="1" customHeight="1">
      <c r="A533" s="1282"/>
      <c r="B533" s="1283"/>
      <c r="C533" s="1284"/>
      <c r="D533" s="1285"/>
      <c r="E533" s="1290"/>
      <c r="F533" s="1291"/>
      <c r="G533" s="811" t="s">
        <v>23</v>
      </c>
      <c r="H533" s="808">
        <f t="shared" si="87"/>
        <v>150000</v>
      </c>
      <c r="I533" s="809">
        <f t="shared" si="88"/>
        <v>0</v>
      </c>
      <c r="J533" s="809">
        <f>J531+J532</f>
        <v>0</v>
      </c>
      <c r="K533" s="809">
        <f>K531+K532</f>
        <v>0</v>
      </c>
      <c r="L533" s="809">
        <f t="shared" si="89"/>
        <v>150000</v>
      </c>
      <c r="M533" s="809">
        <f>M531+M532</f>
        <v>0</v>
      </c>
      <c r="N533" s="809">
        <f>N531+N532</f>
        <v>150000</v>
      </c>
    </row>
    <row r="534" spans="1:14" s="812" customFormat="1" ht="15" customHeight="1">
      <c r="A534" s="1286"/>
      <c r="B534" s="1287"/>
      <c r="C534" s="1260"/>
      <c r="D534" s="1261"/>
      <c r="E534" s="1254" t="s">
        <v>1167</v>
      </c>
      <c r="F534" s="1255"/>
      <c r="G534" s="860" t="s">
        <v>21</v>
      </c>
      <c r="H534" s="808">
        <f t="shared" si="87"/>
        <v>279055</v>
      </c>
      <c r="I534" s="809">
        <f t="shared" si="88"/>
        <v>0</v>
      </c>
      <c r="J534" s="809">
        <v>0</v>
      </c>
      <c r="K534" s="809">
        <v>0</v>
      </c>
      <c r="L534" s="809">
        <f t="shared" si="89"/>
        <v>279055</v>
      </c>
      <c r="M534" s="809">
        <v>0</v>
      </c>
      <c r="N534" s="809">
        <v>279055</v>
      </c>
    </row>
    <row r="535" spans="1:14" s="812" customFormat="1" ht="15" customHeight="1">
      <c r="A535" s="1286"/>
      <c r="B535" s="1287"/>
      <c r="C535" s="1260"/>
      <c r="D535" s="1261"/>
      <c r="E535" s="1288"/>
      <c r="F535" s="1289"/>
      <c r="G535" s="860" t="s">
        <v>22</v>
      </c>
      <c r="H535" s="808">
        <f t="shared" si="87"/>
        <v>-38990</v>
      </c>
      <c r="I535" s="809">
        <f t="shared" si="88"/>
        <v>0</v>
      </c>
      <c r="J535" s="809">
        <v>0</v>
      </c>
      <c r="K535" s="809">
        <v>0</v>
      </c>
      <c r="L535" s="809">
        <f t="shared" si="89"/>
        <v>-38990</v>
      </c>
      <c r="M535" s="809">
        <v>0</v>
      </c>
      <c r="N535" s="809">
        <v>-38990</v>
      </c>
    </row>
    <row r="536" spans="1:14" s="721" customFormat="1" ht="15" customHeight="1">
      <c r="A536" s="1282"/>
      <c r="B536" s="1283"/>
      <c r="C536" s="1284"/>
      <c r="D536" s="1285"/>
      <c r="E536" s="1290"/>
      <c r="F536" s="1291"/>
      <c r="G536" s="811" t="s">
        <v>23</v>
      </c>
      <c r="H536" s="808">
        <f t="shared" si="87"/>
        <v>240065</v>
      </c>
      <c r="I536" s="809">
        <f t="shared" si="88"/>
        <v>0</v>
      </c>
      <c r="J536" s="809">
        <f>J534+J535</f>
        <v>0</v>
      </c>
      <c r="K536" s="809">
        <f>K534+K535</f>
        <v>0</v>
      </c>
      <c r="L536" s="809">
        <f t="shared" si="89"/>
        <v>240065</v>
      </c>
      <c r="M536" s="809">
        <f>M534+M535</f>
        <v>0</v>
      </c>
      <c r="N536" s="809">
        <f>N534+N535</f>
        <v>240065</v>
      </c>
    </row>
    <row r="537" spans="1:14" s="812" customFormat="1" ht="15" hidden="1" customHeight="1">
      <c r="A537" s="1286"/>
      <c r="B537" s="1287"/>
      <c r="C537" s="1260"/>
      <c r="D537" s="1261"/>
      <c r="E537" s="1254" t="s">
        <v>1168</v>
      </c>
      <c r="F537" s="1255"/>
      <c r="G537" s="860" t="s">
        <v>21</v>
      </c>
      <c r="H537" s="779">
        <f t="shared" si="87"/>
        <v>180000</v>
      </c>
      <c r="I537" s="780">
        <f t="shared" si="88"/>
        <v>0</v>
      </c>
      <c r="J537" s="780">
        <v>0</v>
      </c>
      <c r="K537" s="780">
        <v>0</v>
      </c>
      <c r="L537" s="780">
        <f t="shared" si="89"/>
        <v>180000</v>
      </c>
      <c r="M537" s="780">
        <v>0</v>
      </c>
      <c r="N537" s="780">
        <v>180000</v>
      </c>
    </row>
    <row r="538" spans="1:14" s="812" customFormat="1" ht="15" hidden="1" customHeight="1">
      <c r="A538" s="1286"/>
      <c r="B538" s="1287"/>
      <c r="C538" s="1260"/>
      <c r="D538" s="1261"/>
      <c r="E538" s="1288"/>
      <c r="F538" s="1289"/>
      <c r="G538" s="860" t="s">
        <v>22</v>
      </c>
      <c r="H538" s="779">
        <f t="shared" si="87"/>
        <v>0</v>
      </c>
      <c r="I538" s="780">
        <f t="shared" si="88"/>
        <v>0</v>
      </c>
      <c r="J538" s="780">
        <v>0</v>
      </c>
      <c r="K538" s="780">
        <v>0</v>
      </c>
      <c r="L538" s="780">
        <f t="shared" si="89"/>
        <v>0</v>
      </c>
      <c r="M538" s="780">
        <v>0</v>
      </c>
      <c r="N538" s="780">
        <v>0</v>
      </c>
    </row>
    <row r="539" spans="1:14" s="721" customFormat="1" ht="15" hidden="1" customHeight="1">
      <c r="A539" s="1282"/>
      <c r="B539" s="1283"/>
      <c r="C539" s="1284"/>
      <c r="D539" s="1285"/>
      <c r="E539" s="1290"/>
      <c r="F539" s="1291"/>
      <c r="G539" s="811" t="s">
        <v>23</v>
      </c>
      <c r="H539" s="808">
        <f t="shared" si="87"/>
        <v>180000</v>
      </c>
      <c r="I539" s="809">
        <f t="shared" si="88"/>
        <v>0</v>
      </c>
      <c r="J539" s="809">
        <f>J537+J538</f>
        <v>0</v>
      </c>
      <c r="K539" s="809">
        <f>K537+K538</f>
        <v>0</v>
      </c>
      <c r="L539" s="809">
        <f t="shared" si="89"/>
        <v>180000</v>
      </c>
      <c r="M539" s="809">
        <f>M537+M538</f>
        <v>0</v>
      </c>
      <c r="N539" s="809">
        <f>N537+N538</f>
        <v>180000</v>
      </c>
    </row>
    <row r="540" spans="1:14" s="812" customFormat="1" ht="14.45" customHeight="1">
      <c r="A540" s="1337" t="s">
        <v>388</v>
      </c>
      <c r="B540" s="1338"/>
      <c r="C540" s="1252" t="s">
        <v>389</v>
      </c>
      <c r="D540" s="1253"/>
      <c r="E540" s="1254" t="s">
        <v>1169</v>
      </c>
      <c r="F540" s="1255"/>
      <c r="G540" s="852" t="s">
        <v>21</v>
      </c>
      <c r="H540" s="808">
        <f t="shared" si="87"/>
        <v>18413</v>
      </c>
      <c r="I540" s="809">
        <f t="shared" si="88"/>
        <v>18413</v>
      </c>
      <c r="J540" s="809">
        <v>18413</v>
      </c>
      <c r="K540" s="809">
        <v>0</v>
      </c>
      <c r="L540" s="809">
        <f t="shared" si="89"/>
        <v>0</v>
      </c>
      <c r="M540" s="809">
        <v>0</v>
      </c>
      <c r="N540" s="809">
        <v>0</v>
      </c>
    </row>
    <row r="541" spans="1:14" s="812" customFormat="1" ht="14.45" customHeight="1">
      <c r="A541" s="1286"/>
      <c r="B541" s="1292"/>
      <c r="C541" s="1260"/>
      <c r="D541" s="1292"/>
      <c r="E541" s="1256"/>
      <c r="F541" s="1257"/>
      <c r="G541" s="852" t="s">
        <v>22</v>
      </c>
      <c r="H541" s="808">
        <f t="shared" si="87"/>
        <v>-8710</v>
      </c>
      <c r="I541" s="809">
        <f t="shared" si="88"/>
        <v>-8710</v>
      </c>
      <c r="J541" s="809">
        <v>-8710</v>
      </c>
      <c r="K541" s="809">
        <v>0</v>
      </c>
      <c r="L541" s="809">
        <f t="shared" si="89"/>
        <v>0</v>
      </c>
      <c r="M541" s="809">
        <v>0</v>
      </c>
      <c r="N541" s="809">
        <v>0</v>
      </c>
    </row>
    <row r="542" spans="1:14" s="721" customFormat="1" ht="14.45" customHeight="1">
      <c r="A542" s="1282"/>
      <c r="B542" s="1354"/>
      <c r="C542" s="1284"/>
      <c r="D542" s="1354"/>
      <c r="E542" s="1258"/>
      <c r="F542" s="1259"/>
      <c r="G542" s="865" t="s">
        <v>23</v>
      </c>
      <c r="H542" s="808">
        <f t="shared" si="87"/>
        <v>9703</v>
      </c>
      <c r="I542" s="809">
        <f t="shared" si="88"/>
        <v>9703</v>
      </c>
      <c r="J542" s="809">
        <f>J540+J541</f>
        <v>9703</v>
      </c>
      <c r="K542" s="809">
        <f>K540+K541</f>
        <v>0</v>
      </c>
      <c r="L542" s="809">
        <f t="shared" si="89"/>
        <v>0</v>
      </c>
      <c r="M542" s="809">
        <f>M540+M541</f>
        <v>0</v>
      </c>
      <c r="N542" s="809">
        <f>N540+N541</f>
        <v>0</v>
      </c>
    </row>
    <row r="543" spans="1:14" s="812" customFormat="1" ht="18" hidden="1" customHeight="1">
      <c r="A543" s="1286"/>
      <c r="B543" s="1287"/>
      <c r="C543" s="1252" t="s">
        <v>392</v>
      </c>
      <c r="D543" s="1253"/>
      <c r="E543" s="1254" t="s">
        <v>1170</v>
      </c>
      <c r="F543" s="1255"/>
      <c r="G543" s="860" t="s">
        <v>21</v>
      </c>
      <c r="H543" s="808">
        <f t="shared" si="87"/>
        <v>59800</v>
      </c>
      <c r="I543" s="809">
        <f t="shared" si="88"/>
        <v>58500</v>
      </c>
      <c r="J543" s="809">
        <v>0</v>
      </c>
      <c r="K543" s="809">
        <v>58500</v>
      </c>
      <c r="L543" s="809">
        <f t="shared" si="89"/>
        <v>1300</v>
      </c>
      <c r="M543" s="809">
        <v>0</v>
      </c>
      <c r="N543" s="809">
        <v>1300</v>
      </c>
    </row>
    <row r="544" spans="1:14" s="812" customFormat="1" ht="18" hidden="1" customHeight="1">
      <c r="A544" s="1286"/>
      <c r="B544" s="1287"/>
      <c r="C544" s="1260"/>
      <c r="D544" s="1261"/>
      <c r="E544" s="1288"/>
      <c r="F544" s="1289"/>
      <c r="G544" s="860" t="s">
        <v>22</v>
      </c>
      <c r="H544" s="808">
        <f t="shared" si="87"/>
        <v>0</v>
      </c>
      <c r="I544" s="809">
        <f t="shared" si="88"/>
        <v>0</v>
      </c>
      <c r="J544" s="809">
        <v>0</v>
      </c>
      <c r="K544" s="809">
        <v>0</v>
      </c>
      <c r="L544" s="809">
        <f t="shared" si="89"/>
        <v>0</v>
      </c>
      <c r="M544" s="809">
        <v>0</v>
      </c>
      <c r="N544" s="809">
        <v>0</v>
      </c>
    </row>
    <row r="545" spans="1:14" s="721" customFormat="1" ht="18" hidden="1" customHeight="1">
      <c r="A545" s="1282"/>
      <c r="B545" s="1283"/>
      <c r="C545" s="1303"/>
      <c r="D545" s="1304"/>
      <c r="E545" s="1290"/>
      <c r="F545" s="1291"/>
      <c r="G545" s="818" t="s">
        <v>23</v>
      </c>
      <c r="H545" s="779">
        <f t="shared" si="87"/>
        <v>59800</v>
      </c>
      <c r="I545" s="780">
        <f t="shared" si="88"/>
        <v>58500</v>
      </c>
      <c r="J545" s="780">
        <f>J543+J544</f>
        <v>0</v>
      </c>
      <c r="K545" s="780">
        <f>K543+K544</f>
        <v>58500</v>
      </c>
      <c r="L545" s="780">
        <f t="shared" si="89"/>
        <v>1300</v>
      </c>
      <c r="M545" s="780">
        <f>M543+M544</f>
        <v>0</v>
      </c>
      <c r="N545" s="780">
        <f>N543+N544</f>
        <v>1300</v>
      </c>
    </row>
    <row r="546" spans="1:14" s="812" customFormat="1" ht="14.45" customHeight="1">
      <c r="A546" s="1286"/>
      <c r="B546" s="1287"/>
      <c r="C546" s="1252" t="s">
        <v>392</v>
      </c>
      <c r="D546" s="1253"/>
      <c r="E546" s="1254" t="s">
        <v>1169</v>
      </c>
      <c r="F546" s="1255"/>
      <c r="G546" s="852" t="s">
        <v>21</v>
      </c>
      <c r="H546" s="808">
        <f>I546+L546</f>
        <v>0</v>
      </c>
      <c r="I546" s="809">
        <f>J546+K546</f>
        <v>0</v>
      </c>
      <c r="J546" s="809">
        <v>0</v>
      </c>
      <c r="K546" s="809">
        <v>0</v>
      </c>
      <c r="L546" s="809">
        <f>M546+N546</f>
        <v>0</v>
      </c>
      <c r="M546" s="809">
        <v>0</v>
      </c>
      <c r="N546" s="809">
        <v>0</v>
      </c>
    </row>
    <row r="547" spans="1:14" s="812" customFormat="1" ht="14.45" customHeight="1">
      <c r="A547" s="1286"/>
      <c r="B547" s="1292"/>
      <c r="C547" s="1260"/>
      <c r="D547" s="1292"/>
      <c r="E547" s="1256"/>
      <c r="F547" s="1257"/>
      <c r="G547" s="852" t="s">
        <v>22</v>
      </c>
      <c r="H547" s="808">
        <f>I547+L547</f>
        <v>8710</v>
      </c>
      <c r="I547" s="809">
        <f>J547+K547</f>
        <v>8710</v>
      </c>
      <c r="J547" s="809">
        <v>8710</v>
      </c>
      <c r="K547" s="809">
        <v>0</v>
      </c>
      <c r="L547" s="809">
        <f>M547+N547</f>
        <v>0</v>
      </c>
      <c r="M547" s="809">
        <v>0</v>
      </c>
      <c r="N547" s="809">
        <v>0</v>
      </c>
    </row>
    <row r="548" spans="1:14" s="721" customFormat="1" ht="14.45" customHeight="1">
      <c r="A548" s="1282"/>
      <c r="B548" s="1354"/>
      <c r="C548" s="1284"/>
      <c r="D548" s="1354"/>
      <c r="E548" s="1258"/>
      <c r="F548" s="1259"/>
      <c r="G548" s="865" t="s">
        <v>23</v>
      </c>
      <c r="H548" s="808">
        <f>I548+L548</f>
        <v>8710</v>
      </c>
      <c r="I548" s="809">
        <f>J548+K548</f>
        <v>8710</v>
      </c>
      <c r="J548" s="809">
        <f>J546+J547</f>
        <v>8710</v>
      </c>
      <c r="K548" s="809">
        <f>K546+K547</f>
        <v>0</v>
      </c>
      <c r="L548" s="809">
        <f>M548+N548</f>
        <v>0</v>
      </c>
      <c r="M548" s="809">
        <f>M546+M547</f>
        <v>0</v>
      </c>
      <c r="N548" s="809">
        <f>N546+N547</f>
        <v>0</v>
      </c>
    </row>
    <row r="549" spans="1:14" s="812" customFormat="1" ht="15.6" hidden="1" customHeight="1">
      <c r="A549" s="1337" t="s">
        <v>300</v>
      </c>
      <c r="B549" s="1338"/>
      <c r="C549" s="1252" t="s">
        <v>1171</v>
      </c>
      <c r="D549" s="1253"/>
      <c r="E549" s="1254" t="s">
        <v>1172</v>
      </c>
      <c r="F549" s="1255"/>
      <c r="G549" s="860" t="s">
        <v>21</v>
      </c>
      <c r="H549" s="779">
        <f t="shared" si="87"/>
        <v>0</v>
      </c>
      <c r="I549" s="780">
        <f t="shared" si="88"/>
        <v>0</v>
      </c>
      <c r="J549" s="780">
        <v>0</v>
      </c>
      <c r="K549" s="780">
        <v>0</v>
      </c>
      <c r="L549" s="780">
        <f t="shared" si="89"/>
        <v>0</v>
      </c>
      <c r="M549" s="780">
        <v>0</v>
      </c>
      <c r="N549" s="780">
        <v>0</v>
      </c>
    </row>
    <row r="550" spans="1:14" s="812" customFormat="1" ht="15.6" hidden="1" customHeight="1">
      <c r="A550" s="1286"/>
      <c r="B550" s="1287"/>
      <c r="C550" s="1260"/>
      <c r="D550" s="1261"/>
      <c r="E550" s="1288"/>
      <c r="F550" s="1289"/>
      <c r="G550" s="860" t="s">
        <v>22</v>
      </c>
      <c r="H550" s="779">
        <f t="shared" si="87"/>
        <v>0</v>
      </c>
      <c r="I550" s="780">
        <f t="shared" si="88"/>
        <v>0</v>
      </c>
      <c r="J550" s="780">
        <v>0</v>
      </c>
      <c r="K550" s="780">
        <v>0</v>
      </c>
      <c r="L550" s="780">
        <f t="shared" si="89"/>
        <v>0</v>
      </c>
      <c r="M550" s="780">
        <v>0</v>
      </c>
      <c r="N550" s="780">
        <v>0</v>
      </c>
    </row>
    <row r="551" spans="1:14" s="721" customFormat="1" ht="15.6" hidden="1" customHeight="1">
      <c r="A551" s="1282"/>
      <c r="B551" s="1283"/>
      <c r="C551" s="1284"/>
      <c r="D551" s="1285"/>
      <c r="E551" s="1290"/>
      <c r="F551" s="1291"/>
      <c r="G551" s="811" t="s">
        <v>23</v>
      </c>
      <c r="H551" s="808">
        <f t="shared" si="87"/>
        <v>0</v>
      </c>
      <c r="I551" s="809">
        <f t="shared" si="88"/>
        <v>0</v>
      </c>
      <c r="J551" s="809">
        <f>J549+J550</f>
        <v>0</v>
      </c>
      <c r="K551" s="809">
        <f>K549+K550</f>
        <v>0</v>
      </c>
      <c r="L551" s="809">
        <f t="shared" si="89"/>
        <v>0</v>
      </c>
      <c r="M551" s="809">
        <f>M549+M550</f>
        <v>0</v>
      </c>
      <c r="N551" s="809">
        <f>N549+N550</f>
        <v>0</v>
      </c>
    </row>
    <row r="552" spans="1:14" s="812" customFormat="1" ht="18" hidden="1" customHeight="1">
      <c r="A552" s="1286"/>
      <c r="B552" s="1287"/>
      <c r="C552" s="1260"/>
      <c r="D552" s="1261"/>
      <c r="E552" s="1254" t="s">
        <v>1173</v>
      </c>
      <c r="F552" s="1255"/>
      <c r="G552" s="860" t="s">
        <v>21</v>
      </c>
      <c r="H552" s="779">
        <f t="shared" si="87"/>
        <v>200000</v>
      </c>
      <c r="I552" s="780">
        <f t="shared" si="88"/>
        <v>200000</v>
      </c>
      <c r="J552" s="780">
        <v>0</v>
      </c>
      <c r="K552" s="780">
        <v>200000</v>
      </c>
      <c r="L552" s="780">
        <f t="shared" si="89"/>
        <v>0</v>
      </c>
      <c r="M552" s="780">
        <v>0</v>
      </c>
      <c r="N552" s="780">
        <v>0</v>
      </c>
    </row>
    <row r="553" spans="1:14" s="812" customFormat="1" ht="18" hidden="1" customHeight="1">
      <c r="A553" s="1286"/>
      <c r="B553" s="1287"/>
      <c r="C553" s="1260"/>
      <c r="D553" s="1261"/>
      <c r="E553" s="1288"/>
      <c r="F553" s="1289"/>
      <c r="G553" s="860" t="s">
        <v>22</v>
      </c>
      <c r="H553" s="779">
        <f t="shared" si="87"/>
        <v>0</v>
      </c>
      <c r="I553" s="780">
        <f t="shared" si="88"/>
        <v>0</v>
      </c>
      <c r="J553" s="780">
        <v>0</v>
      </c>
      <c r="K553" s="780">
        <v>0</v>
      </c>
      <c r="L553" s="780">
        <f t="shared" si="89"/>
        <v>0</v>
      </c>
      <c r="M553" s="780">
        <v>0</v>
      </c>
      <c r="N553" s="780">
        <v>0</v>
      </c>
    </row>
    <row r="554" spans="1:14" s="721" customFormat="1" ht="18" hidden="1" customHeight="1">
      <c r="A554" s="1282"/>
      <c r="B554" s="1283"/>
      <c r="C554" s="1284"/>
      <c r="D554" s="1285"/>
      <c r="E554" s="1290"/>
      <c r="F554" s="1291"/>
      <c r="G554" s="811" t="s">
        <v>23</v>
      </c>
      <c r="H554" s="808">
        <f t="shared" si="87"/>
        <v>200000</v>
      </c>
      <c r="I554" s="809">
        <f t="shared" si="88"/>
        <v>200000</v>
      </c>
      <c r="J554" s="809">
        <f>J552+J553</f>
        <v>0</v>
      </c>
      <c r="K554" s="809">
        <f>K552+K553</f>
        <v>200000</v>
      </c>
      <c r="L554" s="809">
        <f t="shared" si="89"/>
        <v>0</v>
      </c>
      <c r="M554" s="809">
        <f>M552+M553</f>
        <v>0</v>
      </c>
      <c r="N554" s="809">
        <f>N552+N553</f>
        <v>0</v>
      </c>
    </row>
    <row r="555" spans="1:14" s="812" customFormat="1" ht="18" hidden="1" customHeight="1">
      <c r="A555" s="1286"/>
      <c r="B555" s="1287"/>
      <c r="C555" s="1260"/>
      <c r="D555" s="1261"/>
      <c r="E555" s="1254" t="s">
        <v>1174</v>
      </c>
      <c r="F555" s="1255"/>
      <c r="G555" s="860" t="s">
        <v>21</v>
      </c>
      <c r="H555" s="779">
        <f t="shared" si="87"/>
        <v>10000</v>
      </c>
      <c r="I555" s="780">
        <f t="shared" si="88"/>
        <v>10000</v>
      </c>
      <c r="J555" s="780">
        <v>0</v>
      </c>
      <c r="K555" s="780">
        <v>10000</v>
      </c>
      <c r="L555" s="780">
        <f t="shared" si="89"/>
        <v>0</v>
      </c>
      <c r="M555" s="780">
        <v>0</v>
      </c>
      <c r="N555" s="780">
        <v>0</v>
      </c>
    </row>
    <row r="556" spans="1:14" s="812" customFormat="1" ht="18" hidden="1" customHeight="1">
      <c r="A556" s="1286"/>
      <c r="B556" s="1287"/>
      <c r="C556" s="1260"/>
      <c r="D556" s="1261"/>
      <c r="E556" s="1288"/>
      <c r="F556" s="1289"/>
      <c r="G556" s="860" t="s">
        <v>22</v>
      </c>
      <c r="H556" s="779">
        <f t="shared" si="87"/>
        <v>0</v>
      </c>
      <c r="I556" s="780">
        <f t="shared" si="88"/>
        <v>0</v>
      </c>
      <c r="J556" s="780">
        <v>0</v>
      </c>
      <c r="K556" s="780">
        <v>0</v>
      </c>
      <c r="L556" s="780">
        <f t="shared" si="89"/>
        <v>0</v>
      </c>
      <c r="M556" s="780">
        <v>0</v>
      </c>
      <c r="N556" s="780">
        <v>0</v>
      </c>
    </row>
    <row r="557" spans="1:14" s="721" customFormat="1" ht="18" hidden="1" customHeight="1">
      <c r="A557" s="1282"/>
      <c r="B557" s="1283"/>
      <c r="C557" s="1284"/>
      <c r="D557" s="1285"/>
      <c r="E557" s="1290"/>
      <c r="F557" s="1291"/>
      <c r="G557" s="811" t="s">
        <v>23</v>
      </c>
      <c r="H557" s="808">
        <f t="shared" si="87"/>
        <v>10000</v>
      </c>
      <c r="I557" s="809">
        <f t="shared" si="88"/>
        <v>10000</v>
      </c>
      <c r="J557" s="809">
        <f>J555+J556</f>
        <v>0</v>
      </c>
      <c r="K557" s="809">
        <f>K555+K556</f>
        <v>10000</v>
      </c>
      <c r="L557" s="809">
        <f t="shared" si="89"/>
        <v>0</v>
      </c>
      <c r="M557" s="809">
        <f>M555+M556</f>
        <v>0</v>
      </c>
      <c r="N557" s="809">
        <f>N555+N556</f>
        <v>0</v>
      </c>
    </row>
    <row r="558" spans="1:14" s="812" customFormat="1" ht="18" hidden="1" customHeight="1">
      <c r="A558" s="1286"/>
      <c r="B558" s="1287"/>
      <c r="C558" s="1260"/>
      <c r="D558" s="1261"/>
      <c r="E558" s="1254" t="s">
        <v>1175</v>
      </c>
      <c r="F558" s="1255"/>
      <c r="G558" s="860" t="s">
        <v>21</v>
      </c>
      <c r="H558" s="779">
        <f t="shared" si="87"/>
        <v>20000</v>
      </c>
      <c r="I558" s="780">
        <f t="shared" si="88"/>
        <v>20000</v>
      </c>
      <c r="J558" s="780">
        <v>0</v>
      </c>
      <c r="K558" s="780">
        <v>20000</v>
      </c>
      <c r="L558" s="780">
        <f t="shared" si="89"/>
        <v>0</v>
      </c>
      <c r="M558" s="780">
        <v>0</v>
      </c>
      <c r="N558" s="780">
        <v>0</v>
      </c>
    </row>
    <row r="559" spans="1:14" s="812" customFormat="1" ht="18" hidden="1" customHeight="1">
      <c r="A559" s="1286"/>
      <c r="B559" s="1287"/>
      <c r="C559" s="1260"/>
      <c r="D559" s="1261"/>
      <c r="E559" s="1288"/>
      <c r="F559" s="1289"/>
      <c r="G559" s="860" t="s">
        <v>22</v>
      </c>
      <c r="H559" s="779">
        <f t="shared" si="87"/>
        <v>0</v>
      </c>
      <c r="I559" s="780">
        <f t="shared" si="88"/>
        <v>0</v>
      </c>
      <c r="J559" s="780">
        <v>0</v>
      </c>
      <c r="K559" s="780">
        <v>0</v>
      </c>
      <c r="L559" s="780">
        <f t="shared" si="89"/>
        <v>0</v>
      </c>
      <c r="M559" s="780">
        <v>0</v>
      </c>
      <c r="N559" s="780">
        <v>0</v>
      </c>
    </row>
    <row r="560" spans="1:14" s="721" customFormat="1" ht="18" hidden="1" customHeight="1">
      <c r="A560" s="1282"/>
      <c r="B560" s="1283"/>
      <c r="C560" s="1284"/>
      <c r="D560" s="1285"/>
      <c r="E560" s="1290"/>
      <c r="F560" s="1291"/>
      <c r="G560" s="811" t="s">
        <v>23</v>
      </c>
      <c r="H560" s="808">
        <f t="shared" si="87"/>
        <v>20000</v>
      </c>
      <c r="I560" s="809">
        <f t="shared" si="88"/>
        <v>20000</v>
      </c>
      <c r="J560" s="809">
        <f>J558+J559</f>
        <v>0</v>
      </c>
      <c r="K560" s="809">
        <f>K558+K559</f>
        <v>20000</v>
      </c>
      <c r="L560" s="809">
        <f t="shared" si="89"/>
        <v>0</v>
      </c>
      <c r="M560" s="809">
        <f>M558+M559</f>
        <v>0</v>
      </c>
      <c r="N560" s="809">
        <f>N558+N559</f>
        <v>0</v>
      </c>
    </row>
    <row r="561" spans="1:14" s="812" customFormat="1" ht="18" hidden="1" customHeight="1">
      <c r="A561" s="1286"/>
      <c r="B561" s="1287"/>
      <c r="C561" s="1252" t="s">
        <v>301</v>
      </c>
      <c r="D561" s="1253"/>
      <c r="E561" s="1376" t="s">
        <v>1176</v>
      </c>
      <c r="F561" s="1377"/>
      <c r="G561" s="860" t="s">
        <v>21</v>
      </c>
      <c r="H561" s="779">
        <f t="shared" si="87"/>
        <v>111000</v>
      </c>
      <c r="I561" s="780">
        <f t="shared" si="88"/>
        <v>111000</v>
      </c>
      <c r="J561" s="780">
        <v>111000</v>
      </c>
      <c r="K561" s="780">
        <v>0</v>
      </c>
      <c r="L561" s="780">
        <f t="shared" si="89"/>
        <v>0</v>
      </c>
      <c r="M561" s="780">
        <v>0</v>
      </c>
      <c r="N561" s="780">
        <v>0</v>
      </c>
    </row>
    <row r="562" spans="1:14" s="812" customFormat="1" ht="18" hidden="1" customHeight="1">
      <c r="A562" s="1286"/>
      <c r="B562" s="1287"/>
      <c r="C562" s="1260"/>
      <c r="D562" s="1261"/>
      <c r="E562" s="1378"/>
      <c r="F562" s="1379"/>
      <c r="G562" s="860" t="s">
        <v>22</v>
      </c>
      <c r="H562" s="779">
        <f t="shared" si="87"/>
        <v>0</v>
      </c>
      <c r="I562" s="780">
        <f t="shared" si="88"/>
        <v>0</v>
      </c>
      <c r="J562" s="780">
        <v>0</v>
      </c>
      <c r="K562" s="780">
        <v>0</v>
      </c>
      <c r="L562" s="780">
        <f t="shared" si="89"/>
        <v>0</v>
      </c>
      <c r="M562" s="780">
        <v>0</v>
      </c>
      <c r="N562" s="780">
        <v>0</v>
      </c>
    </row>
    <row r="563" spans="1:14" s="721" customFormat="1" ht="18" hidden="1" customHeight="1">
      <c r="A563" s="1282"/>
      <c r="B563" s="1283"/>
      <c r="C563" s="1284"/>
      <c r="D563" s="1285"/>
      <c r="E563" s="1380"/>
      <c r="F563" s="1381"/>
      <c r="G563" s="811" t="s">
        <v>23</v>
      </c>
      <c r="H563" s="808">
        <f t="shared" ref="H563:H647" si="90">I563+L563</f>
        <v>111000</v>
      </c>
      <c r="I563" s="809">
        <f t="shared" ref="I563:I647" si="91">J563+K563</f>
        <v>111000</v>
      </c>
      <c r="J563" s="809">
        <f>J561+J562</f>
        <v>111000</v>
      </c>
      <c r="K563" s="809">
        <f>K561+K562</f>
        <v>0</v>
      </c>
      <c r="L563" s="809">
        <f t="shared" ref="L563:L647" si="92">M563+N563</f>
        <v>0</v>
      </c>
      <c r="M563" s="809">
        <f>M561+M562</f>
        <v>0</v>
      </c>
      <c r="N563" s="809">
        <f>N561+N562</f>
        <v>0</v>
      </c>
    </row>
    <row r="564" spans="1:14" s="812" customFormat="1" ht="18" customHeight="1">
      <c r="A564" s="1337" t="s">
        <v>300</v>
      </c>
      <c r="B564" s="1338"/>
      <c r="C564" s="1252" t="s">
        <v>301</v>
      </c>
      <c r="D564" s="1253"/>
      <c r="E564" s="1376" t="s">
        <v>1177</v>
      </c>
      <c r="F564" s="1377"/>
      <c r="G564" s="860" t="s">
        <v>21</v>
      </c>
      <c r="H564" s="779">
        <f t="shared" si="90"/>
        <v>500000</v>
      </c>
      <c r="I564" s="780">
        <f t="shared" si="91"/>
        <v>500000</v>
      </c>
      <c r="J564" s="780">
        <v>500000</v>
      </c>
      <c r="K564" s="780">
        <v>0</v>
      </c>
      <c r="L564" s="780">
        <f t="shared" si="92"/>
        <v>0</v>
      </c>
      <c r="M564" s="780">
        <v>0</v>
      </c>
      <c r="N564" s="780">
        <v>0</v>
      </c>
    </row>
    <row r="565" spans="1:14" s="812" customFormat="1" ht="18" customHeight="1">
      <c r="A565" s="1286"/>
      <c r="B565" s="1287"/>
      <c r="C565" s="1260"/>
      <c r="D565" s="1261"/>
      <c r="E565" s="1378"/>
      <c r="F565" s="1379"/>
      <c r="G565" s="860" t="s">
        <v>22</v>
      </c>
      <c r="H565" s="779">
        <f t="shared" si="90"/>
        <v>-296346</v>
      </c>
      <c r="I565" s="780">
        <f t="shared" si="91"/>
        <v>-296346</v>
      </c>
      <c r="J565" s="780">
        <v>-296346</v>
      </c>
      <c r="K565" s="780">
        <v>0</v>
      </c>
      <c r="L565" s="780">
        <f t="shared" si="92"/>
        <v>0</v>
      </c>
      <c r="M565" s="780">
        <v>0</v>
      </c>
      <c r="N565" s="780">
        <v>0</v>
      </c>
    </row>
    <row r="566" spans="1:14" s="721" customFormat="1" ht="18" customHeight="1">
      <c r="A566" s="1282"/>
      <c r="B566" s="1283"/>
      <c r="C566" s="1284"/>
      <c r="D566" s="1285"/>
      <c r="E566" s="1380"/>
      <c r="F566" s="1381"/>
      <c r="G566" s="818" t="s">
        <v>23</v>
      </c>
      <c r="H566" s="779">
        <f t="shared" si="90"/>
        <v>203654</v>
      </c>
      <c r="I566" s="780">
        <f t="shared" si="91"/>
        <v>203654</v>
      </c>
      <c r="J566" s="780">
        <f>J564+J565</f>
        <v>203654</v>
      </c>
      <c r="K566" s="780">
        <f>K564+K565</f>
        <v>0</v>
      </c>
      <c r="L566" s="780">
        <f t="shared" si="92"/>
        <v>0</v>
      </c>
      <c r="M566" s="780">
        <f>M564+M565</f>
        <v>0</v>
      </c>
      <c r="N566" s="780">
        <f>N564+N565</f>
        <v>0</v>
      </c>
    </row>
    <row r="567" spans="1:14" s="812" customFormat="1" ht="14.45" hidden="1" customHeight="1">
      <c r="A567" s="1286"/>
      <c r="B567" s="1287"/>
      <c r="C567" s="1260"/>
      <c r="D567" s="1261"/>
      <c r="E567" s="1378" t="s">
        <v>1178</v>
      </c>
      <c r="F567" s="1379"/>
      <c r="G567" s="863" t="s">
        <v>21</v>
      </c>
      <c r="H567" s="820">
        <f t="shared" si="90"/>
        <v>32600</v>
      </c>
      <c r="I567" s="821">
        <f t="shared" si="91"/>
        <v>32600</v>
      </c>
      <c r="J567" s="821">
        <v>32600</v>
      </c>
      <c r="K567" s="821">
        <v>0</v>
      </c>
      <c r="L567" s="821">
        <f t="shared" si="92"/>
        <v>0</v>
      </c>
      <c r="M567" s="821">
        <v>0</v>
      </c>
      <c r="N567" s="821">
        <v>0</v>
      </c>
    </row>
    <row r="568" spans="1:14" s="812" customFormat="1" ht="14.45" hidden="1" customHeight="1">
      <c r="A568" s="1286"/>
      <c r="B568" s="1287"/>
      <c r="C568" s="1260"/>
      <c r="D568" s="1261"/>
      <c r="E568" s="1378"/>
      <c r="F568" s="1379"/>
      <c r="G568" s="860" t="s">
        <v>22</v>
      </c>
      <c r="H568" s="779">
        <f t="shared" si="90"/>
        <v>0</v>
      </c>
      <c r="I568" s="780">
        <f t="shared" si="91"/>
        <v>0</v>
      </c>
      <c r="J568" s="780">
        <v>0</v>
      </c>
      <c r="K568" s="780">
        <v>0</v>
      </c>
      <c r="L568" s="780">
        <f t="shared" si="92"/>
        <v>0</v>
      </c>
      <c r="M568" s="780">
        <v>0</v>
      </c>
      <c r="N568" s="780">
        <v>0</v>
      </c>
    </row>
    <row r="569" spans="1:14" s="721" customFormat="1" ht="14.45" hidden="1" customHeight="1">
      <c r="A569" s="1282"/>
      <c r="B569" s="1283"/>
      <c r="C569" s="1284"/>
      <c r="D569" s="1285"/>
      <c r="E569" s="1380"/>
      <c r="F569" s="1381"/>
      <c r="G569" s="811" t="s">
        <v>23</v>
      </c>
      <c r="H569" s="808">
        <f t="shared" si="90"/>
        <v>32600</v>
      </c>
      <c r="I569" s="809">
        <f t="shared" si="91"/>
        <v>32600</v>
      </c>
      <c r="J569" s="809">
        <f>J567+J568</f>
        <v>32600</v>
      </c>
      <c r="K569" s="809">
        <f>K567+K568</f>
        <v>0</v>
      </c>
      <c r="L569" s="809">
        <f t="shared" si="92"/>
        <v>0</v>
      </c>
      <c r="M569" s="809">
        <f>M567+M568</f>
        <v>0</v>
      </c>
      <c r="N569" s="809">
        <f>N567+N568</f>
        <v>0</v>
      </c>
    </row>
    <row r="570" spans="1:14" s="812" customFormat="1" ht="14.45" hidden="1" customHeight="1">
      <c r="A570" s="1286"/>
      <c r="B570" s="1287"/>
      <c r="C570" s="1260"/>
      <c r="D570" s="1261"/>
      <c r="E570" s="1378" t="s">
        <v>1179</v>
      </c>
      <c r="F570" s="1379"/>
      <c r="G570" s="814" t="s">
        <v>21</v>
      </c>
      <c r="H570" s="779">
        <f t="shared" si="90"/>
        <v>6453</v>
      </c>
      <c r="I570" s="780">
        <f t="shared" si="91"/>
        <v>6453</v>
      </c>
      <c r="J570" s="780">
        <v>0</v>
      </c>
      <c r="K570" s="780">
        <v>6453</v>
      </c>
      <c r="L570" s="780">
        <f t="shared" si="92"/>
        <v>0</v>
      </c>
      <c r="M570" s="780">
        <v>0</v>
      </c>
      <c r="N570" s="780">
        <v>0</v>
      </c>
    </row>
    <row r="571" spans="1:14" s="812" customFormat="1" ht="14.45" hidden="1" customHeight="1">
      <c r="A571" s="1286"/>
      <c r="B571" s="1287"/>
      <c r="C571" s="1260"/>
      <c r="D571" s="1261"/>
      <c r="E571" s="1378"/>
      <c r="F571" s="1379"/>
      <c r="G571" s="860" t="s">
        <v>22</v>
      </c>
      <c r="H571" s="779">
        <f t="shared" si="90"/>
        <v>0</v>
      </c>
      <c r="I571" s="780">
        <f t="shared" si="91"/>
        <v>0</v>
      </c>
      <c r="J571" s="780">
        <v>0</v>
      </c>
      <c r="K571" s="780">
        <v>0</v>
      </c>
      <c r="L571" s="780">
        <f t="shared" si="92"/>
        <v>0</v>
      </c>
      <c r="M571" s="780">
        <v>0</v>
      </c>
      <c r="N571" s="780">
        <v>0</v>
      </c>
    </row>
    <row r="572" spans="1:14" s="721" customFormat="1" ht="14.45" hidden="1" customHeight="1">
      <c r="A572" s="1282"/>
      <c r="B572" s="1283"/>
      <c r="C572" s="1284"/>
      <c r="D572" s="1285"/>
      <c r="E572" s="1380"/>
      <c r="F572" s="1381"/>
      <c r="G572" s="811" t="s">
        <v>23</v>
      </c>
      <c r="H572" s="808">
        <f t="shared" si="90"/>
        <v>6453</v>
      </c>
      <c r="I572" s="809">
        <f t="shared" si="91"/>
        <v>6453</v>
      </c>
      <c r="J572" s="809">
        <f>J570+J571</f>
        <v>0</v>
      </c>
      <c r="K572" s="809">
        <f>K570+K571</f>
        <v>6453</v>
      </c>
      <c r="L572" s="809">
        <f t="shared" si="92"/>
        <v>0</v>
      </c>
      <c r="M572" s="809">
        <f>M570+M571</f>
        <v>0</v>
      </c>
      <c r="N572" s="809">
        <f>N570+N571</f>
        <v>0</v>
      </c>
    </row>
    <row r="573" spans="1:14" s="812" customFormat="1" ht="18" hidden="1" customHeight="1">
      <c r="A573" s="1286"/>
      <c r="B573" s="1287"/>
      <c r="C573" s="1260"/>
      <c r="D573" s="1261"/>
      <c r="E573" s="1254" t="s">
        <v>1180</v>
      </c>
      <c r="F573" s="1255"/>
      <c r="G573" s="860" t="s">
        <v>21</v>
      </c>
      <c r="H573" s="779">
        <f t="shared" si="90"/>
        <v>861574</v>
      </c>
      <c r="I573" s="780">
        <f t="shared" si="91"/>
        <v>861574</v>
      </c>
      <c r="J573" s="780">
        <v>861574</v>
      </c>
      <c r="K573" s="780">
        <v>0</v>
      </c>
      <c r="L573" s="780">
        <f t="shared" si="92"/>
        <v>0</v>
      </c>
      <c r="M573" s="780">
        <v>0</v>
      </c>
      <c r="N573" s="780">
        <v>0</v>
      </c>
    </row>
    <row r="574" spans="1:14" s="812" customFormat="1" ht="18" hidden="1" customHeight="1">
      <c r="A574" s="1286"/>
      <c r="B574" s="1287"/>
      <c r="C574" s="1260"/>
      <c r="D574" s="1261"/>
      <c r="E574" s="1288"/>
      <c r="F574" s="1289"/>
      <c r="G574" s="860" t="s">
        <v>22</v>
      </c>
      <c r="H574" s="779">
        <f t="shared" si="90"/>
        <v>0</v>
      </c>
      <c r="I574" s="780">
        <f t="shared" si="91"/>
        <v>0</v>
      </c>
      <c r="J574" s="780">
        <v>0</v>
      </c>
      <c r="K574" s="780">
        <v>0</v>
      </c>
      <c r="L574" s="780">
        <f t="shared" si="92"/>
        <v>0</v>
      </c>
      <c r="M574" s="780">
        <v>0</v>
      </c>
      <c r="N574" s="780">
        <v>0</v>
      </c>
    </row>
    <row r="575" spans="1:14" s="721" customFormat="1" ht="18" hidden="1" customHeight="1">
      <c r="A575" s="1282"/>
      <c r="B575" s="1283"/>
      <c r="C575" s="1284"/>
      <c r="D575" s="1285"/>
      <c r="E575" s="1290"/>
      <c r="F575" s="1291"/>
      <c r="G575" s="811" t="s">
        <v>23</v>
      </c>
      <c r="H575" s="808">
        <f t="shared" si="90"/>
        <v>861574</v>
      </c>
      <c r="I575" s="809">
        <f t="shared" si="91"/>
        <v>861574</v>
      </c>
      <c r="J575" s="809">
        <f>J573+J574</f>
        <v>861574</v>
      </c>
      <c r="K575" s="809">
        <f>K573+K574</f>
        <v>0</v>
      </c>
      <c r="L575" s="809">
        <f t="shared" si="92"/>
        <v>0</v>
      </c>
      <c r="M575" s="809">
        <f>M573+M574</f>
        <v>0</v>
      </c>
      <c r="N575" s="809">
        <f>N573+N574</f>
        <v>0</v>
      </c>
    </row>
    <row r="576" spans="1:14" s="812" customFormat="1" ht="36" hidden="1" customHeight="1">
      <c r="A576" s="1286"/>
      <c r="B576" s="1287"/>
      <c r="C576" s="1260"/>
      <c r="D576" s="1261"/>
      <c r="E576" s="1262" t="s">
        <v>1181</v>
      </c>
      <c r="F576" s="1255"/>
      <c r="G576" s="860" t="s">
        <v>21</v>
      </c>
      <c r="H576" s="779">
        <f t="shared" si="90"/>
        <v>890516</v>
      </c>
      <c r="I576" s="780">
        <f t="shared" si="91"/>
        <v>890516</v>
      </c>
      <c r="J576" s="780">
        <v>890516</v>
      </c>
      <c r="K576" s="780">
        <v>0</v>
      </c>
      <c r="L576" s="780">
        <f t="shared" si="92"/>
        <v>0</v>
      </c>
      <c r="M576" s="780">
        <v>0</v>
      </c>
      <c r="N576" s="780">
        <v>0</v>
      </c>
    </row>
    <row r="577" spans="1:14" s="812" customFormat="1" ht="36" hidden="1" customHeight="1">
      <c r="A577" s="1286"/>
      <c r="B577" s="1287"/>
      <c r="C577" s="1260"/>
      <c r="D577" s="1261"/>
      <c r="E577" s="1288"/>
      <c r="F577" s="1289"/>
      <c r="G577" s="860" t="s">
        <v>22</v>
      </c>
      <c r="H577" s="779">
        <f t="shared" si="90"/>
        <v>0</v>
      </c>
      <c r="I577" s="780">
        <f t="shared" si="91"/>
        <v>0</v>
      </c>
      <c r="J577" s="780">
        <v>0</v>
      </c>
      <c r="K577" s="780">
        <v>0</v>
      </c>
      <c r="L577" s="780">
        <f t="shared" si="92"/>
        <v>0</v>
      </c>
      <c r="M577" s="780">
        <v>0</v>
      </c>
      <c r="N577" s="780">
        <v>0</v>
      </c>
    </row>
    <row r="578" spans="1:14" s="721" customFormat="1" ht="36" hidden="1" customHeight="1">
      <c r="A578" s="1282"/>
      <c r="B578" s="1283"/>
      <c r="C578" s="1284"/>
      <c r="D578" s="1285"/>
      <c r="E578" s="1290"/>
      <c r="F578" s="1291"/>
      <c r="G578" s="811" t="s">
        <v>23</v>
      </c>
      <c r="H578" s="808">
        <f t="shared" si="90"/>
        <v>890516</v>
      </c>
      <c r="I578" s="809">
        <f t="shared" si="91"/>
        <v>890516</v>
      </c>
      <c r="J578" s="809">
        <f>J576+J577</f>
        <v>890516</v>
      </c>
      <c r="K578" s="809">
        <f>K576+K577</f>
        <v>0</v>
      </c>
      <c r="L578" s="809">
        <f t="shared" si="92"/>
        <v>0</v>
      </c>
      <c r="M578" s="809">
        <f>M576+M577</f>
        <v>0</v>
      </c>
      <c r="N578" s="809">
        <f>N576+N577</f>
        <v>0</v>
      </c>
    </row>
    <row r="579" spans="1:14" s="812" customFormat="1" ht="18" hidden="1" customHeight="1">
      <c r="A579" s="1286"/>
      <c r="B579" s="1287"/>
      <c r="C579" s="1260"/>
      <c r="D579" s="1261"/>
      <c r="E579" s="1254" t="s">
        <v>1182</v>
      </c>
      <c r="F579" s="1255"/>
      <c r="G579" s="860" t="s">
        <v>21</v>
      </c>
      <c r="H579" s="779">
        <f t="shared" si="90"/>
        <v>600000</v>
      </c>
      <c r="I579" s="780">
        <f t="shared" si="91"/>
        <v>600000</v>
      </c>
      <c r="J579" s="780">
        <v>600000</v>
      </c>
      <c r="K579" s="780">
        <v>0</v>
      </c>
      <c r="L579" s="780">
        <f t="shared" si="92"/>
        <v>0</v>
      </c>
      <c r="M579" s="780">
        <v>0</v>
      </c>
      <c r="N579" s="780">
        <v>0</v>
      </c>
    </row>
    <row r="580" spans="1:14" s="812" customFormat="1" ht="18" hidden="1" customHeight="1">
      <c r="A580" s="1286"/>
      <c r="B580" s="1287"/>
      <c r="C580" s="1260"/>
      <c r="D580" s="1261"/>
      <c r="E580" s="1288"/>
      <c r="F580" s="1289"/>
      <c r="G580" s="860" t="s">
        <v>22</v>
      </c>
      <c r="H580" s="779">
        <f t="shared" si="90"/>
        <v>0</v>
      </c>
      <c r="I580" s="780">
        <f t="shared" si="91"/>
        <v>0</v>
      </c>
      <c r="J580" s="780">
        <v>0</v>
      </c>
      <c r="K580" s="780">
        <v>0</v>
      </c>
      <c r="L580" s="780">
        <f t="shared" si="92"/>
        <v>0</v>
      </c>
      <c r="M580" s="780">
        <v>0</v>
      </c>
      <c r="N580" s="780">
        <v>0</v>
      </c>
    </row>
    <row r="581" spans="1:14" s="721" customFormat="1" ht="18" hidden="1" customHeight="1">
      <c r="A581" s="1282"/>
      <c r="B581" s="1283"/>
      <c r="C581" s="1284"/>
      <c r="D581" s="1285"/>
      <c r="E581" s="1290"/>
      <c r="F581" s="1291"/>
      <c r="G581" s="811" t="s">
        <v>23</v>
      </c>
      <c r="H581" s="808">
        <f t="shared" si="90"/>
        <v>600000</v>
      </c>
      <c r="I581" s="809">
        <f t="shared" si="91"/>
        <v>600000</v>
      </c>
      <c r="J581" s="809">
        <f>J579+J580</f>
        <v>600000</v>
      </c>
      <c r="K581" s="809">
        <f>K579+K580</f>
        <v>0</v>
      </c>
      <c r="L581" s="809">
        <f t="shared" si="92"/>
        <v>0</v>
      </c>
      <c r="M581" s="809">
        <f>M579+M580</f>
        <v>0</v>
      </c>
      <c r="N581" s="809">
        <f>N579+N580</f>
        <v>0</v>
      </c>
    </row>
    <row r="582" spans="1:14" s="812" customFormat="1" ht="15.6" hidden="1" customHeight="1">
      <c r="A582" s="1286"/>
      <c r="B582" s="1287"/>
      <c r="C582" s="1260"/>
      <c r="D582" s="1261"/>
      <c r="E582" s="1254" t="s">
        <v>1183</v>
      </c>
      <c r="F582" s="1255"/>
      <c r="G582" s="860" t="s">
        <v>21</v>
      </c>
      <c r="H582" s="779">
        <f t="shared" si="90"/>
        <v>23422</v>
      </c>
      <c r="I582" s="780">
        <f t="shared" si="91"/>
        <v>23422</v>
      </c>
      <c r="J582" s="780">
        <v>0</v>
      </c>
      <c r="K582" s="780">
        <v>23422</v>
      </c>
      <c r="L582" s="780">
        <f t="shared" si="92"/>
        <v>0</v>
      </c>
      <c r="M582" s="780">
        <v>0</v>
      </c>
      <c r="N582" s="780">
        <v>0</v>
      </c>
    </row>
    <row r="583" spans="1:14" s="812" customFormat="1" ht="15.6" hidden="1" customHeight="1">
      <c r="A583" s="1286"/>
      <c r="B583" s="1287"/>
      <c r="C583" s="1260"/>
      <c r="D583" s="1261"/>
      <c r="E583" s="1288"/>
      <c r="F583" s="1289"/>
      <c r="G583" s="860" t="s">
        <v>22</v>
      </c>
      <c r="H583" s="779">
        <f t="shared" si="90"/>
        <v>0</v>
      </c>
      <c r="I583" s="780">
        <f t="shared" si="91"/>
        <v>0</v>
      </c>
      <c r="J583" s="780">
        <v>0</v>
      </c>
      <c r="K583" s="780">
        <v>0</v>
      </c>
      <c r="L583" s="780">
        <f t="shared" si="92"/>
        <v>0</v>
      </c>
      <c r="M583" s="780">
        <v>0</v>
      </c>
      <c r="N583" s="780">
        <v>0</v>
      </c>
    </row>
    <row r="584" spans="1:14" s="721" customFormat="1" ht="15.6" hidden="1" customHeight="1">
      <c r="A584" s="1282"/>
      <c r="B584" s="1283"/>
      <c r="C584" s="1284"/>
      <c r="D584" s="1285"/>
      <c r="E584" s="1288"/>
      <c r="F584" s="1289"/>
      <c r="G584" s="811" t="s">
        <v>23</v>
      </c>
      <c r="H584" s="808">
        <f t="shared" si="90"/>
        <v>23422</v>
      </c>
      <c r="I584" s="809">
        <f t="shared" si="91"/>
        <v>23422</v>
      </c>
      <c r="J584" s="809">
        <f>J582+J583</f>
        <v>0</v>
      </c>
      <c r="K584" s="809">
        <f>K582+K583</f>
        <v>23422</v>
      </c>
      <c r="L584" s="809">
        <f t="shared" si="92"/>
        <v>0</v>
      </c>
      <c r="M584" s="809">
        <f>M582+M583</f>
        <v>0</v>
      </c>
      <c r="N584" s="809">
        <f>N582+N583</f>
        <v>0</v>
      </c>
    </row>
    <row r="585" spans="1:14" s="812" customFormat="1" ht="24" hidden="1" customHeight="1">
      <c r="A585" s="1286"/>
      <c r="B585" s="1287"/>
      <c r="C585" s="1260"/>
      <c r="D585" s="1261"/>
      <c r="E585" s="1262" t="s">
        <v>1184</v>
      </c>
      <c r="F585" s="1255"/>
      <c r="G585" s="860" t="s">
        <v>21</v>
      </c>
      <c r="H585" s="779">
        <f t="shared" si="90"/>
        <v>24035</v>
      </c>
      <c r="I585" s="780">
        <f t="shared" si="91"/>
        <v>24035</v>
      </c>
      <c r="J585" s="780">
        <v>0</v>
      </c>
      <c r="K585" s="780">
        <v>24035</v>
      </c>
      <c r="L585" s="780">
        <f t="shared" si="92"/>
        <v>0</v>
      </c>
      <c r="M585" s="780">
        <v>0</v>
      </c>
      <c r="N585" s="780">
        <v>0</v>
      </c>
    </row>
    <row r="586" spans="1:14" s="812" customFormat="1" ht="24" hidden="1" customHeight="1">
      <c r="A586" s="1286"/>
      <c r="B586" s="1287"/>
      <c r="C586" s="1260"/>
      <c r="D586" s="1261"/>
      <c r="E586" s="1288"/>
      <c r="F586" s="1289"/>
      <c r="G586" s="860" t="s">
        <v>22</v>
      </c>
      <c r="H586" s="779">
        <f t="shared" si="90"/>
        <v>0</v>
      </c>
      <c r="I586" s="780">
        <f t="shared" si="91"/>
        <v>0</v>
      </c>
      <c r="J586" s="780">
        <v>0</v>
      </c>
      <c r="K586" s="780">
        <v>0</v>
      </c>
      <c r="L586" s="780">
        <f t="shared" si="92"/>
        <v>0</v>
      </c>
      <c r="M586" s="780">
        <v>0</v>
      </c>
      <c r="N586" s="780">
        <v>0</v>
      </c>
    </row>
    <row r="587" spans="1:14" s="721" customFormat="1" ht="24" hidden="1" customHeight="1">
      <c r="A587" s="1282"/>
      <c r="B587" s="1283"/>
      <c r="C587" s="1284"/>
      <c r="D587" s="1285"/>
      <c r="E587" s="1290"/>
      <c r="F587" s="1291"/>
      <c r="G587" s="811" t="s">
        <v>23</v>
      </c>
      <c r="H587" s="808">
        <f t="shared" si="90"/>
        <v>24035</v>
      </c>
      <c r="I587" s="809">
        <f t="shared" si="91"/>
        <v>24035</v>
      </c>
      <c r="J587" s="809">
        <f>J585+J586</f>
        <v>0</v>
      </c>
      <c r="K587" s="809">
        <f>K585+K586</f>
        <v>24035</v>
      </c>
      <c r="L587" s="809">
        <f t="shared" si="92"/>
        <v>0</v>
      </c>
      <c r="M587" s="809">
        <f>M585+M586</f>
        <v>0</v>
      </c>
      <c r="N587" s="809">
        <f>N585+N586</f>
        <v>0</v>
      </c>
    </row>
    <row r="588" spans="1:14" s="812" customFormat="1" ht="14.45" hidden="1" customHeight="1">
      <c r="A588" s="1286"/>
      <c r="B588" s="1287"/>
      <c r="C588" s="1260"/>
      <c r="D588" s="1261"/>
      <c r="E588" s="1254" t="s">
        <v>1185</v>
      </c>
      <c r="F588" s="1255"/>
      <c r="G588" s="860" t="s">
        <v>21</v>
      </c>
      <c r="H588" s="779">
        <f>I588+L588</f>
        <v>3450</v>
      </c>
      <c r="I588" s="780">
        <f>J588+K588</f>
        <v>3450</v>
      </c>
      <c r="J588" s="780">
        <v>0</v>
      </c>
      <c r="K588" s="780">
        <v>3450</v>
      </c>
      <c r="L588" s="780">
        <f>M588+N588</f>
        <v>0</v>
      </c>
      <c r="M588" s="780">
        <v>0</v>
      </c>
      <c r="N588" s="780">
        <v>0</v>
      </c>
    </row>
    <row r="589" spans="1:14" s="812" customFormat="1" ht="14.45" hidden="1" customHeight="1">
      <c r="A589" s="1286"/>
      <c r="B589" s="1287"/>
      <c r="C589" s="1260"/>
      <c r="D589" s="1261"/>
      <c r="E589" s="1288"/>
      <c r="F589" s="1289"/>
      <c r="G589" s="860" t="s">
        <v>22</v>
      </c>
      <c r="H589" s="779">
        <f>I589+L589</f>
        <v>0</v>
      </c>
      <c r="I589" s="780">
        <f>J589+K589</f>
        <v>0</v>
      </c>
      <c r="J589" s="780">
        <v>0</v>
      </c>
      <c r="K589" s="780">
        <v>0</v>
      </c>
      <c r="L589" s="780">
        <f>M589+N589</f>
        <v>0</v>
      </c>
      <c r="M589" s="780">
        <v>0</v>
      </c>
      <c r="N589" s="780">
        <v>0</v>
      </c>
    </row>
    <row r="590" spans="1:14" s="721" customFormat="1" ht="14.45" hidden="1" customHeight="1">
      <c r="A590" s="1282"/>
      <c r="B590" s="1283"/>
      <c r="C590" s="1284"/>
      <c r="D590" s="1285"/>
      <c r="E590" s="1290"/>
      <c r="F590" s="1291"/>
      <c r="G590" s="811" t="s">
        <v>23</v>
      </c>
      <c r="H590" s="808">
        <f>I590+L590</f>
        <v>3450</v>
      </c>
      <c r="I590" s="809">
        <f>J590+K590</f>
        <v>3450</v>
      </c>
      <c r="J590" s="809">
        <f>J588+J589</f>
        <v>0</v>
      </c>
      <c r="K590" s="809">
        <f>K588+K589</f>
        <v>3450</v>
      </c>
      <c r="L590" s="809">
        <f>M590+N590</f>
        <v>0</v>
      </c>
      <c r="M590" s="809">
        <f>M588+M589</f>
        <v>0</v>
      </c>
      <c r="N590" s="809">
        <f>N588+N589</f>
        <v>0</v>
      </c>
    </row>
    <row r="591" spans="1:14" s="812" customFormat="1" ht="22.5" customHeight="1">
      <c r="A591" s="1286"/>
      <c r="B591" s="1287"/>
      <c r="C591" s="1260"/>
      <c r="D591" s="1261"/>
      <c r="E591" s="1262" t="s">
        <v>1186</v>
      </c>
      <c r="F591" s="1374"/>
      <c r="G591" s="860" t="s">
        <v>21</v>
      </c>
      <c r="H591" s="779">
        <f t="shared" si="90"/>
        <v>274768</v>
      </c>
      <c r="I591" s="780">
        <f t="shared" si="91"/>
        <v>274768</v>
      </c>
      <c r="J591" s="780">
        <v>274768</v>
      </c>
      <c r="K591" s="780">
        <v>0</v>
      </c>
      <c r="L591" s="780">
        <f t="shared" si="92"/>
        <v>0</v>
      </c>
      <c r="M591" s="780">
        <v>0</v>
      </c>
      <c r="N591" s="780">
        <v>0</v>
      </c>
    </row>
    <row r="592" spans="1:14" s="812" customFormat="1" ht="22.5" customHeight="1">
      <c r="A592" s="1286"/>
      <c r="B592" s="1287"/>
      <c r="C592" s="1260"/>
      <c r="D592" s="1261"/>
      <c r="E592" s="1382"/>
      <c r="F592" s="1383"/>
      <c r="G592" s="860" t="s">
        <v>22</v>
      </c>
      <c r="H592" s="779">
        <f t="shared" si="90"/>
        <v>0</v>
      </c>
      <c r="I592" s="780">
        <f t="shared" si="91"/>
        <v>0</v>
      </c>
      <c r="J592" s="780">
        <v>0</v>
      </c>
      <c r="K592" s="780">
        <v>0</v>
      </c>
      <c r="L592" s="780">
        <f t="shared" si="92"/>
        <v>0</v>
      </c>
      <c r="M592" s="780">
        <v>0</v>
      </c>
      <c r="N592" s="780">
        <v>0</v>
      </c>
    </row>
    <row r="593" spans="1:14" s="721" customFormat="1" ht="22.5" customHeight="1">
      <c r="A593" s="1282"/>
      <c r="B593" s="1283"/>
      <c r="C593" s="1284"/>
      <c r="D593" s="1285"/>
      <c r="E593" s="1384"/>
      <c r="F593" s="1385"/>
      <c r="G593" s="811" t="s">
        <v>23</v>
      </c>
      <c r="H593" s="808">
        <f t="shared" si="90"/>
        <v>274768</v>
      </c>
      <c r="I593" s="809">
        <f t="shared" si="91"/>
        <v>274768</v>
      </c>
      <c r="J593" s="809">
        <f>J591+J592</f>
        <v>274768</v>
      </c>
      <c r="K593" s="809">
        <f>K591+K592</f>
        <v>0</v>
      </c>
      <c r="L593" s="809">
        <f t="shared" si="92"/>
        <v>0</v>
      </c>
      <c r="M593" s="809">
        <f>M591+M592</f>
        <v>0</v>
      </c>
      <c r="N593" s="809">
        <f>N591+N592</f>
        <v>0</v>
      </c>
    </row>
    <row r="594" spans="1:14" s="812" customFormat="1" ht="30.75" customHeight="1">
      <c r="A594" s="1286"/>
      <c r="B594" s="1287"/>
      <c r="C594" s="1260"/>
      <c r="D594" s="1261"/>
      <c r="E594" s="1262" t="s">
        <v>1187</v>
      </c>
      <c r="F594" s="1374"/>
      <c r="G594" s="860" t="s">
        <v>21</v>
      </c>
      <c r="H594" s="779">
        <f t="shared" si="90"/>
        <v>1183093</v>
      </c>
      <c r="I594" s="780">
        <f t="shared" si="91"/>
        <v>1183093</v>
      </c>
      <c r="J594" s="780">
        <v>1183093</v>
      </c>
      <c r="K594" s="780">
        <v>0</v>
      </c>
      <c r="L594" s="780">
        <f t="shared" si="92"/>
        <v>0</v>
      </c>
      <c r="M594" s="780">
        <v>0</v>
      </c>
      <c r="N594" s="780">
        <v>0</v>
      </c>
    </row>
    <row r="595" spans="1:14" s="812" customFormat="1" ht="30.75" customHeight="1">
      <c r="A595" s="1286"/>
      <c r="B595" s="1287"/>
      <c r="C595" s="1260"/>
      <c r="D595" s="1261"/>
      <c r="E595" s="1382"/>
      <c r="F595" s="1383"/>
      <c r="G595" s="860" t="s">
        <v>22</v>
      </c>
      <c r="H595" s="779">
        <f t="shared" si="90"/>
        <v>0</v>
      </c>
      <c r="I595" s="780">
        <f t="shared" si="91"/>
        <v>0</v>
      </c>
      <c r="J595" s="780">
        <v>0</v>
      </c>
      <c r="K595" s="780">
        <v>0</v>
      </c>
      <c r="L595" s="780">
        <f t="shared" si="92"/>
        <v>0</v>
      </c>
      <c r="M595" s="780">
        <v>0</v>
      </c>
      <c r="N595" s="780">
        <v>0</v>
      </c>
    </row>
    <row r="596" spans="1:14" s="812" customFormat="1" ht="30.75" customHeight="1">
      <c r="A596" s="1286"/>
      <c r="B596" s="1287"/>
      <c r="C596" s="1260"/>
      <c r="D596" s="1261"/>
      <c r="E596" s="1384"/>
      <c r="F596" s="1385"/>
      <c r="G596" s="860" t="s">
        <v>23</v>
      </c>
      <c r="H596" s="779">
        <f t="shared" si="90"/>
        <v>1183093</v>
      </c>
      <c r="I596" s="780">
        <f t="shared" si="91"/>
        <v>1183093</v>
      </c>
      <c r="J596" s="780">
        <f>J594+J595</f>
        <v>1183093</v>
      </c>
      <c r="K596" s="780">
        <f>K594+K595</f>
        <v>0</v>
      </c>
      <c r="L596" s="780">
        <f t="shared" si="92"/>
        <v>0</v>
      </c>
      <c r="M596" s="780">
        <f>M594+M595</f>
        <v>0</v>
      </c>
      <c r="N596" s="780">
        <f>N594+N595</f>
        <v>0</v>
      </c>
    </row>
    <row r="597" spans="1:14" s="812" customFormat="1" ht="30.75" customHeight="1">
      <c r="A597" s="1286"/>
      <c r="B597" s="1287"/>
      <c r="C597" s="1260"/>
      <c r="D597" s="1261"/>
      <c r="E597" s="1262" t="s">
        <v>1188</v>
      </c>
      <c r="F597" s="1374"/>
      <c r="G597" s="860" t="s">
        <v>21</v>
      </c>
      <c r="H597" s="779">
        <f t="shared" si="90"/>
        <v>6814127</v>
      </c>
      <c r="I597" s="780">
        <f t="shared" si="91"/>
        <v>6814127</v>
      </c>
      <c r="J597" s="780">
        <v>6814127</v>
      </c>
      <c r="K597" s="780">
        <v>0</v>
      </c>
      <c r="L597" s="780">
        <f t="shared" si="92"/>
        <v>0</v>
      </c>
      <c r="M597" s="780">
        <v>0</v>
      </c>
      <c r="N597" s="780">
        <v>0</v>
      </c>
    </row>
    <row r="598" spans="1:14" s="812" customFormat="1" ht="30.75" customHeight="1">
      <c r="A598" s="1286"/>
      <c r="B598" s="1287"/>
      <c r="C598" s="1260"/>
      <c r="D598" s="1261"/>
      <c r="E598" s="1382"/>
      <c r="F598" s="1383"/>
      <c r="G598" s="860" t="s">
        <v>22</v>
      </c>
      <c r="H598" s="779">
        <f t="shared" si="90"/>
        <v>0</v>
      </c>
      <c r="I598" s="780">
        <f t="shared" si="91"/>
        <v>0</v>
      </c>
      <c r="J598" s="780">
        <v>0</v>
      </c>
      <c r="K598" s="780">
        <v>0</v>
      </c>
      <c r="L598" s="780">
        <f t="shared" si="92"/>
        <v>0</v>
      </c>
      <c r="M598" s="780">
        <v>0</v>
      </c>
      <c r="N598" s="780">
        <v>0</v>
      </c>
    </row>
    <row r="599" spans="1:14" s="812" customFormat="1" ht="30.75" customHeight="1">
      <c r="A599" s="1286"/>
      <c r="B599" s="1287"/>
      <c r="C599" s="1260"/>
      <c r="D599" s="1261"/>
      <c r="E599" s="1384"/>
      <c r="F599" s="1385"/>
      <c r="G599" s="860" t="s">
        <v>23</v>
      </c>
      <c r="H599" s="779">
        <f t="shared" si="90"/>
        <v>6814127</v>
      </c>
      <c r="I599" s="780">
        <f t="shared" si="91"/>
        <v>6814127</v>
      </c>
      <c r="J599" s="780">
        <f>J597+J598</f>
        <v>6814127</v>
      </c>
      <c r="K599" s="780">
        <f>K597+K598</f>
        <v>0</v>
      </c>
      <c r="L599" s="780">
        <f t="shared" si="92"/>
        <v>0</v>
      </c>
      <c r="M599" s="780">
        <f>M597+M598</f>
        <v>0</v>
      </c>
      <c r="N599" s="780">
        <f>N597+N598</f>
        <v>0</v>
      </c>
    </row>
    <row r="600" spans="1:14" s="812" customFormat="1" ht="14.45" customHeight="1">
      <c r="A600" s="1286"/>
      <c r="B600" s="1287"/>
      <c r="C600" s="1260"/>
      <c r="D600" s="1261"/>
      <c r="E600" s="1262" t="s">
        <v>1189</v>
      </c>
      <c r="F600" s="1374"/>
      <c r="G600" s="860" t="s">
        <v>21</v>
      </c>
      <c r="H600" s="779">
        <f>I600+L600</f>
        <v>0</v>
      </c>
      <c r="I600" s="780">
        <f>J600+K600</f>
        <v>0</v>
      </c>
      <c r="J600" s="780">
        <v>0</v>
      </c>
      <c r="K600" s="780">
        <v>0</v>
      </c>
      <c r="L600" s="780">
        <f>M600+N600</f>
        <v>0</v>
      </c>
      <c r="M600" s="780">
        <v>0</v>
      </c>
      <c r="N600" s="780">
        <v>0</v>
      </c>
    </row>
    <row r="601" spans="1:14" s="812" customFormat="1" ht="14.45" customHeight="1">
      <c r="A601" s="1286"/>
      <c r="B601" s="1287"/>
      <c r="C601" s="1260"/>
      <c r="D601" s="1261"/>
      <c r="E601" s="1382"/>
      <c r="F601" s="1383"/>
      <c r="G601" s="860" t="s">
        <v>22</v>
      </c>
      <c r="H601" s="779">
        <f>I601+L601</f>
        <v>1155000</v>
      </c>
      <c r="I601" s="780">
        <f>J601+K601</f>
        <v>1155000</v>
      </c>
      <c r="J601" s="780">
        <v>1155000</v>
      </c>
      <c r="K601" s="780">
        <v>0</v>
      </c>
      <c r="L601" s="780">
        <f>M601+N601</f>
        <v>0</v>
      </c>
      <c r="M601" s="780">
        <v>0</v>
      </c>
      <c r="N601" s="780">
        <v>0</v>
      </c>
    </row>
    <row r="602" spans="1:14" s="721" customFormat="1" ht="14.45" customHeight="1">
      <c r="A602" s="1301"/>
      <c r="B602" s="1302"/>
      <c r="C602" s="1303"/>
      <c r="D602" s="1304"/>
      <c r="E602" s="1384"/>
      <c r="F602" s="1385"/>
      <c r="G602" s="818" t="s">
        <v>23</v>
      </c>
      <c r="H602" s="779">
        <f>I602+L602</f>
        <v>1155000</v>
      </c>
      <c r="I602" s="780">
        <f>J602+K602</f>
        <v>1155000</v>
      </c>
      <c r="J602" s="780">
        <f>J600+J601</f>
        <v>1155000</v>
      </c>
      <c r="K602" s="780">
        <f>K600+K601</f>
        <v>0</v>
      </c>
      <c r="L602" s="780">
        <f>M602+N602</f>
        <v>0</v>
      </c>
      <c r="M602" s="780">
        <f>M600+M601</f>
        <v>0</v>
      </c>
      <c r="N602" s="780">
        <f>N600+N601</f>
        <v>0</v>
      </c>
    </row>
    <row r="603" spans="1:14" s="812" customFormat="1" ht="14.45" hidden="1" customHeight="1">
      <c r="A603" s="1286"/>
      <c r="B603" s="1287"/>
      <c r="C603" s="1260" t="s">
        <v>398</v>
      </c>
      <c r="D603" s="1261"/>
      <c r="E603" s="1288" t="s">
        <v>1190</v>
      </c>
      <c r="F603" s="1289"/>
      <c r="G603" s="866" t="s">
        <v>21</v>
      </c>
      <c r="H603" s="820">
        <f t="shared" si="90"/>
        <v>256070</v>
      </c>
      <c r="I603" s="821">
        <f t="shared" si="91"/>
        <v>256070</v>
      </c>
      <c r="J603" s="821">
        <v>241073</v>
      </c>
      <c r="K603" s="821">
        <v>14997</v>
      </c>
      <c r="L603" s="821">
        <f t="shared" si="92"/>
        <v>0</v>
      </c>
      <c r="M603" s="821">
        <v>0</v>
      </c>
      <c r="N603" s="821">
        <v>0</v>
      </c>
    </row>
    <row r="604" spans="1:14" s="812" customFormat="1" ht="14.45" hidden="1" customHeight="1">
      <c r="A604" s="1286"/>
      <c r="B604" s="1292"/>
      <c r="C604" s="1260"/>
      <c r="D604" s="1292"/>
      <c r="E604" s="1256"/>
      <c r="F604" s="1257"/>
      <c r="G604" s="867" t="s">
        <v>22</v>
      </c>
      <c r="H604" s="779">
        <f t="shared" si="90"/>
        <v>0</v>
      </c>
      <c r="I604" s="780">
        <f t="shared" si="91"/>
        <v>0</v>
      </c>
      <c r="J604" s="780">
        <v>0</v>
      </c>
      <c r="K604" s="780">
        <v>0</v>
      </c>
      <c r="L604" s="780">
        <f t="shared" si="92"/>
        <v>0</v>
      </c>
      <c r="M604" s="780">
        <v>0</v>
      </c>
      <c r="N604" s="780">
        <v>0</v>
      </c>
    </row>
    <row r="605" spans="1:14" s="721" customFormat="1" ht="14.45" hidden="1" customHeight="1">
      <c r="A605" s="1282"/>
      <c r="B605" s="1354"/>
      <c r="C605" s="1284"/>
      <c r="D605" s="1354"/>
      <c r="E605" s="1258"/>
      <c r="F605" s="1259"/>
      <c r="G605" s="865" t="s">
        <v>23</v>
      </c>
      <c r="H605" s="808">
        <f t="shared" si="90"/>
        <v>256070</v>
      </c>
      <c r="I605" s="809">
        <f t="shared" si="91"/>
        <v>256070</v>
      </c>
      <c r="J605" s="809">
        <f>J603+J604</f>
        <v>241073</v>
      </c>
      <c r="K605" s="809">
        <f>K603+K604</f>
        <v>14997</v>
      </c>
      <c r="L605" s="809">
        <f t="shared" si="92"/>
        <v>0</v>
      </c>
      <c r="M605" s="809">
        <f>M603+M604</f>
        <v>0</v>
      </c>
      <c r="N605" s="809">
        <f>N603+N604</f>
        <v>0</v>
      </c>
    </row>
    <row r="606" spans="1:14" s="812" customFormat="1" ht="18" hidden="1" customHeight="1">
      <c r="A606" s="1286"/>
      <c r="B606" s="1287"/>
      <c r="C606" s="1260"/>
      <c r="D606" s="1261"/>
      <c r="E606" s="1254" t="s">
        <v>1191</v>
      </c>
      <c r="F606" s="1255"/>
      <c r="G606" s="867" t="s">
        <v>21</v>
      </c>
      <c r="H606" s="779">
        <f t="shared" si="90"/>
        <v>500000</v>
      </c>
      <c r="I606" s="780">
        <f t="shared" si="91"/>
        <v>500000</v>
      </c>
      <c r="J606" s="780">
        <v>500000</v>
      </c>
      <c r="K606" s="780">
        <v>0</v>
      </c>
      <c r="L606" s="780">
        <f t="shared" si="92"/>
        <v>0</v>
      </c>
      <c r="M606" s="780">
        <v>0</v>
      </c>
      <c r="N606" s="780">
        <v>0</v>
      </c>
    </row>
    <row r="607" spans="1:14" s="812" customFormat="1" ht="18" hidden="1" customHeight="1">
      <c r="A607" s="1286"/>
      <c r="B607" s="1292"/>
      <c r="C607" s="1260"/>
      <c r="D607" s="1292"/>
      <c r="E607" s="1256"/>
      <c r="F607" s="1257"/>
      <c r="G607" s="867" t="s">
        <v>22</v>
      </c>
      <c r="H607" s="779">
        <f t="shared" si="90"/>
        <v>0</v>
      </c>
      <c r="I607" s="780">
        <f t="shared" si="91"/>
        <v>0</v>
      </c>
      <c r="J607" s="780">
        <v>0</v>
      </c>
      <c r="K607" s="780">
        <v>0</v>
      </c>
      <c r="L607" s="780">
        <f t="shared" si="92"/>
        <v>0</v>
      </c>
      <c r="M607" s="780">
        <v>0</v>
      </c>
      <c r="N607" s="780">
        <v>0</v>
      </c>
    </row>
    <row r="608" spans="1:14" s="721" customFormat="1" ht="18" hidden="1" customHeight="1">
      <c r="A608" s="1282"/>
      <c r="B608" s="1354"/>
      <c r="C608" s="1284"/>
      <c r="D608" s="1354"/>
      <c r="E608" s="1258"/>
      <c r="F608" s="1259"/>
      <c r="G608" s="865" t="s">
        <v>23</v>
      </c>
      <c r="H608" s="808">
        <f t="shared" si="90"/>
        <v>500000</v>
      </c>
      <c r="I608" s="809">
        <f t="shared" si="91"/>
        <v>500000</v>
      </c>
      <c r="J608" s="809">
        <f>J606+J607</f>
        <v>500000</v>
      </c>
      <c r="K608" s="809">
        <f>K606+K607</f>
        <v>0</v>
      </c>
      <c r="L608" s="809">
        <f t="shared" si="92"/>
        <v>0</v>
      </c>
      <c r="M608" s="809">
        <f>M606+M607</f>
        <v>0</v>
      </c>
      <c r="N608" s="809">
        <f>N606+N607</f>
        <v>0</v>
      </c>
    </row>
    <row r="609" spans="1:14" s="812" customFormat="1" ht="18" hidden="1" customHeight="1">
      <c r="A609" s="1286"/>
      <c r="B609" s="1287"/>
      <c r="C609" s="1252" t="s">
        <v>309</v>
      </c>
      <c r="D609" s="1253"/>
      <c r="E609" s="1254" t="s">
        <v>1174</v>
      </c>
      <c r="F609" s="1255"/>
      <c r="G609" s="860" t="s">
        <v>21</v>
      </c>
      <c r="H609" s="779">
        <f t="shared" si="90"/>
        <v>51000</v>
      </c>
      <c r="I609" s="780">
        <f t="shared" si="91"/>
        <v>51000</v>
      </c>
      <c r="J609" s="780">
        <v>0</v>
      </c>
      <c r="K609" s="780">
        <v>51000</v>
      </c>
      <c r="L609" s="780">
        <f t="shared" si="92"/>
        <v>0</v>
      </c>
      <c r="M609" s="780">
        <v>0</v>
      </c>
      <c r="N609" s="780">
        <v>0</v>
      </c>
    </row>
    <row r="610" spans="1:14" s="812" customFormat="1" ht="18" hidden="1" customHeight="1">
      <c r="A610" s="1286"/>
      <c r="B610" s="1287"/>
      <c r="C610" s="1260"/>
      <c r="D610" s="1261"/>
      <c r="E610" s="1288"/>
      <c r="F610" s="1289"/>
      <c r="G610" s="860" t="s">
        <v>22</v>
      </c>
      <c r="H610" s="779">
        <f t="shared" si="90"/>
        <v>0</v>
      </c>
      <c r="I610" s="780">
        <f t="shared" si="91"/>
        <v>0</v>
      </c>
      <c r="J610" s="780">
        <v>0</v>
      </c>
      <c r="K610" s="780">
        <v>0</v>
      </c>
      <c r="L610" s="780">
        <f t="shared" si="92"/>
        <v>0</v>
      </c>
      <c r="M610" s="780">
        <v>0</v>
      </c>
      <c r="N610" s="780">
        <v>0</v>
      </c>
    </row>
    <row r="611" spans="1:14" s="721" customFormat="1" ht="18" hidden="1" customHeight="1">
      <c r="A611" s="1282"/>
      <c r="B611" s="1283"/>
      <c r="C611" s="1284"/>
      <c r="D611" s="1285"/>
      <c r="E611" s="1290"/>
      <c r="F611" s="1291"/>
      <c r="G611" s="811" t="s">
        <v>23</v>
      </c>
      <c r="H611" s="808">
        <f t="shared" si="90"/>
        <v>51000</v>
      </c>
      <c r="I611" s="809">
        <f t="shared" si="91"/>
        <v>51000</v>
      </c>
      <c r="J611" s="809">
        <f>J609+J610</f>
        <v>0</v>
      </c>
      <c r="K611" s="809">
        <f>K609+K610</f>
        <v>51000</v>
      </c>
      <c r="L611" s="809">
        <f t="shared" si="92"/>
        <v>0</v>
      </c>
      <c r="M611" s="809">
        <f>M609+M610</f>
        <v>0</v>
      </c>
      <c r="N611" s="809">
        <f>N609+N610</f>
        <v>0</v>
      </c>
    </row>
    <row r="612" spans="1:14" s="812" customFormat="1" ht="18" hidden="1" customHeight="1">
      <c r="A612" s="1286"/>
      <c r="B612" s="1287"/>
      <c r="C612" s="1260"/>
      <c r="D612" s="1261"/>
      <c r="E612" s="1254" t="s">
        <v>1192</v>
      </c>
      <c r="F612" s="1255"/>
      <c r="G612" s="860" t="s">
        <v>21</v>
      </c>
      <c r="H612" s="779">
        <f>I612+L612</f>
        <v>17000</v>
      </c>
      <c r="I612" s="780">
        <f>J612+K612</f>
        <v>17000</v>
      </c>
      <c r="J612" s="780">
        <v>17000</v>
      </c>
      <c r="K612" s="780">
        <v>0</v>
      </c>
      <c r="L612" s="780">
        <f>M612+N612</f>
        <v>0</v>
      </c>
      <c r="M612" s="780">
        <v>0</v>
      </c>
      <c r="N612" s="780">
        <v>0</v>
      </c>
    </row>
    <row r="613" spans="1:14" s="812" customFormat="1" ht="18" hidden="1" customHeight="1">
      <c r="A613" s="1286"/>
      <c r="B613" s="1287"/>
      <c r="C613" s="1260"/>
      <c r="D613" s="1261"/>
      <c r="E613" s="1288"/>
      <c r="F613" s="1289"/>
      <c r="G613" s="860" t="s">
        <v>22</v>
      </c>
      <c r="H613" s="779">
        <f>I613+L613</f>
        <v>0</v>
      </c>
      <c r="I613" s="780">
        <f>J613+K613</f>
        <v>0</v>
      </c>
      <c r="J613" s="780">
        <v>0</v>
      </c>
      <c r="K613" s="780">
        <v>0</v>
      </c>
      <c r="L613" s="780">
        <f>M613+N613</f>
        <v>0</v>
      </c>
      <c r="M613" s="780">
        <v>0</v>
      </c>
      <c r="N613" s="780">
        <v>0</v>
      </c>
    </row>
    <row r="614" spans="1:14" s="721" customFormat="1" ht="18" hidden="1" customHeight="1">
      <c r="A614" s="1282"/>
      <c r="B614" s="1283"/>
      <c r="C614" s="1284"/>
      <c r="D614" s="1285"/>
      <c r="E614" s="1290"/>
      <c r="F614" s="1291"/>
      <c r="G614" s="811" t="s">
        <v>23</v>
      </c>
      <c r="H614" s="808">
        <f>I614+L614</f>
        <v>17000</v>
      </c>
      <c r="I614" s="809">
        <f>J614+K614</f>
        <v>17000</v>
      </c>
      <c r="J614" s="809">
        <f>J612+J613</f>
        <v>17000</v>
      </c>
      <c r="K614" s="809">
        <f>K612+K613</f>
        <v>0</v>
      </c>
      <c r="L614" s="809">
        <f>M614+N614</f>
        <v>0</v>
      </c>
      <c r="M614" s="809">
        <f>M612+M613</f>
        <v>0</v>
      </c>
      <c r="N614" s="809">
        <f>N612+N613</f>
        <v>0</v>
      </c>
    </row>
    <row r="615" spans="1:14" s="812" customFormat="1" ht="15.2" hidden="1" customHeight="1">
      <c r="A615" s="1286"/>
      <c r="B615" s="1287"/>
      <c r="C615" s="1260"/>
      <c r="D615" s="1261"/>
      <c r="E615" s="1254" t="s">
        <v>1193</v>
      </c>
      <c r="F615" s="1255"/>
      <c r="G615" s="867" t="s">
        <v>21</v>
      </c>
      <c r="H615" s="779">
        <f t="shared" si="90"/>
        <v>20000</v>
      </c>
      <c r="I615" s="780">
        <f t="shared" si="91"/>
        <v>20000</v>
      </c>
      <c r="J615" s="780">
        <v>0</v>
      </c>
      <c r="K615" s="780">
        <v>20000</v>
      </c>
      <c r="L615" s="780">
        <f t="shared" si="92"/>
        <v>0</v>
      </c>
      <c r="M615" s="780">
        <v>0</v>
      </c>
      <c r="N615" s="780">
        <v>0</v>
      </c>
    </row>
    <row r="616" spans="1:14" s="812" customFormat="1" ht="15.2" hidden="1" customHeight="1">
      <c r="A616" s="1286"/>
      <c r="B616" s="1292"/>
      <c r="C616" s="1260"/>
      <c r="D616" s="1292"/>
      <c r="E616" s="1256"/>
      <c r="F616" s="1257"/>
      <c r="G616" s="867" t="s">
        <v>22</v>
      </c>
      <c r="H616" s="779">
        <f t="shared" si="90"/>
        <v>0</v>
      </c>
      <c r="I616" s="780">
        <f t="shared" si="91"/>
        <v>0</v>
      </c>
      <c r="J616" s="780">
        <v>0</v>
      </c>
      <c r="K616" s="780">
        <v>0</v>
      </c>
      <c r="L616" s="780">
        <f t="shared" si="92"/>
        <v>0</v>
      </c>
      <c r="M616" s="780">
        <v>0</v>
      </c>
      <c r="N616" s="780">
        <v>0</v>
      </c>
    </row>
    <row r="617" spans="1:14" s="721" customFormat="1" ht="15.2" hidden="1" customHeight="1">
      <c r="A617" s="1282"/>
      <c r="B617" s="1354"/>
      <c r="C617" s="1284"/>
      <c r="D617" s="1354"/>
      <c r="E617" s="1258"/>
      <c r="F617" s="1259"/>
      <c r="G617" s="865" t="s">
        <v>23</v>
      </c>
      <c r="H617" s="808">
        <f t="shared" si="90"/>
        <v>20000</v>
      </c>
      <c r="I617" s="809">
        <f t="shared" si="91"/>
        <v>20000</v>
      </c>
      <c r="J617" s="809">
        <f>J615+J616</f>
        <v>0</v>
      </c>
      <c r="K617" s="809">
        <f>K615+K616</f>
        <v>20000</v>
      </c>
      <c r="L617" s="809">
        <f t="shared" si="92"/>
        <v>0</v>
      </c>
      <c r="M617" s="809">
        <f>M615+M616</f>
        <v>0</v>
      </c>
      <c r="N617" s="809">
        <f>N615+N616</f>
        <v>0</v>
      </c>
    </row>
    <row r="618" spans="1:14" s="812" customFormat="1" ht="14.45" hidden="1" customHeight="1">
      <c r="A618" s="1286"/>
      <c r="B618" s="1287"/>
      <c r="C618" s="1260"/>
      <c r="D618" s="1261"/>
      <c r="E618" s="1254" t="s">
        <v>1194</v>
      </c>
      <c r="F618" s="1255"/>
      <c r="G618" s="860" t="s">
        <v>21</v>
      </c>
      <c r="H618" s="779">
        <f t="shared" si="90"/>
        <v>137760</v>
      </c>
      <c r="I618" s="780">
        <f t="shared" si="91"/>
        <v>137760</v>
      </c>
      <c r="J618" s="780">
        <v>137760</v>
      </c>
      <c r="K618" s="780">
        <v>0</v>
      </c>
      <c r="L618" s="780">
        <f t="shared" si="92"/>
        <v>0</v>
      </c>
      <c r="M618" s="780">
        <v>0</v>
      </c>
      <c r="N618" s="780">
        <v>0</v>
      </c>
    </row>
    <row r="619" spans="1:14" s="812" customFormat="1" ht="14.45" hidden="1" customHeight="1">
      <c r="A619" s="1286"/>
      <c r="B619" s="1287"/>
      <c r="C619" s="1260"/>
      <c r="D619" s="1261"/>
      <c r="E619" s="1288"/>
      <c r="F619" s="1289"/>
      <c r="G619" s="860" t="s">
        <v>22</v>
      </c>
      <c r="H619" s="779">
        <f t="shared" si="90"/>
        <v>0</v>
      </c>
      <c r="I619" s="780">
        <f t="shared" si="91"/>
        <v>0</v>
      </c>
      <c r="J619" s="780">
        <v>0</v>
      </c>
      <c r="K619" s="780">
        <v>0</v>
      </c>
      <c r="L619" s="780">
        <f t="shared" si="92"/>
        <v>0</v>
      </c>
      <c r="M619" s="780">
        <v>0</v>
      </c>
      <c r="N619" s="780">
        <v>0</v>
      </c>
    </row>
    <row r="620" spans="1:14" s="721" customFormat="1" ht="14.45" hidden="1" customHeight="1">
      <c r="A620" s="1282"/>
      <c r="B620" s="1283"/>
      <c r="C620" s="1284"/>
      <c r="D620" s="1285"/>
      <c r="E620" s="1290"/>
      <c r="F620" s="1291"/>
      <c r="G620" s="811" t="s">
        <v>23</v>
      </c>
      <c r="H620" s="808">
        <f t="shared" si="90"/>
        <v>137760</v>
      </c>
      <c r="I620" s="809">
        <f t="shared" si="91"/>
        <v>137760</v>
      </c>
      <c r="J620" s="809">
        <f>J618+J619</f>
        <v>137760</v>
      </c>
      <c r="K620" s="809">
        <f>K618+K619</f>
        <v>0</v>
      </c>
      <c r="L620" s="809">
        <f t="shared" si="92"/>
        <v>0</v>
      </c>
      <c r="M620" s="809">
        <f>M618+M619</f>
        <v>0</v>
      </c>
      <c r="N620" s="809">
        <f>N618+N619</f>
        <v>0</v>
      </c>
    </row>
    <row r="621" spans="1:14" s="812" customFormat="1" ht="18" hidden="1" customHeight="1">
      <c r="A621" s="1286"/>
      <c r="B621" s="1287"/>
      <c r="C621" s="1260"/>
      <c r="D621" s="1261"/>
      <c r="E621" s="1254" t="s">
        <v>1195</v>
      </c>
      <c r="F621" s="1255"/>
      <c r="G621" s="860" t="s">
        <v>21</v>
      </c>
      <c r="H621" s="779">
        <f t="shared" si="90"/>
        <v>100000</v>
      </c>
      <c r="I621" s="780">
        <f t="shared" si="91"/>
        <v>100000</v>
      </c>
      <c r="J621" s="780">
        <v>100000</v>
      </c>
      <c r="K621" s="780">
        <v>0</v>
      </c>
      <c r="L621" s="780">
        <f t="shared" si="92"/>
        <v>0</v>
      </c>
      <c r="M621" s="780">
        <v>0</v>
      </c>
      <c r="N621" s="780">
        <v>0</v>
      </c>
    </row>
    <row r="622" spans="1:14" s="812" customFormat="1" ht="18" hidden="1" customHeight="1">
      <c r="A622" s="1286"/>
      <c r="B622" s="1287"/>
      <c r="C622" s="1260"/>
      <c r="D622" s="1261"/>
      <c r="E622" s="1288"/>
      <c r="F622" s="1289"/>
      <c r="G622" s="860" t="s">
        <v>22</v>
      </c>
      <c r="H622" s="779">
        <f t="shared" si="90"/>
        <v>0</v>
      </c>
      <c r="I622" s="780">
        <f t="shared" si="91"/>
        <v>0</v>
      </c>
      <c r="J622" s="780">
        <v>0</v>
      </c>
      <c r="K622" s="780">
        <v>0</v>
      </c>
      <c r="L622" s="780">
        <f t="shared" si="92"/>
        <v>0</v>
      </c>
      <c r="M622" s="780">
        <v>0</v>
      </c>
      <c r="N622" s="780">
        <v>0</v>
      </c>
    </row>
    <row r="623" spans="1:14" s="721" customFormat="1" ht="18" hidden="1" customHeight="1">
      <c r="A623" s="1282"/>
      <c r="B623" s="1283"/>
      <c r="C623" s="1284"/>
      <c r="D623" s="1285"/>
      <c r="E623" s="1290"/>
      <c r="F623" s="1291"/>
      <c r="G623" s="811" t="s">
        <v>23</v>
      </c>
      <c r="H623" s="808">
        <f t="shared" si="90"/>
        <v>100000</v>
      </c>
      <c r="I623" s="809">
        <f t="shared" si="91"/>
        <v>100000</v>
      </c>
      <c r="J623" s="809">
        <f>J621+J622</f>
        <v>100000</v>
      </c>
      <c r="K623" s="809">
        <f>K621+K622</f>
        <v>0</v>
      </c>
      <c r="L623" s="809">
        <f t="shared" si="92"/>
        <v>0</v>
      </c>
      <c r="M623" s="809">
        <f>M621+M622</f>
        <v>0</v>
      </c>
      <c r="N623" s="809">
        <f>N621+N622</f>
        <v>0</v>
      </c>
    </row>
    <row r="624" spans="1:14" s="812" customFormat="1" ht="14.45" hidden="1" customHeight="1">
      <c r="A624" s="1286"/>
      <c r="B624" s="1287"/>
      <c r="C624" s="1260"/>
      <c r="D624" s="1261"/>
      <c r="E624" s="1254" t="s">
        <v>1196</v>
      </c>
      <c r="F624" s="1255"/>
      <c r="G624" s="867" t="s">
        <v>21</v>
      </c>
      <c r="H624" s="779">
        <f t="shared" si="90"/>
        <v>28900</v>
      </c>
      <c r="I624" s="780">
        <f t="shared" si="91"/>
        <v>28900</v>
      </c>
      <c r="J624" s="780">
        <v>0</v>
      </c>
      <c r="K624" s="780">
        <v>28900</v>
      </c>
      <c r="L624" s="780">
        <f t="shared" si="92"/>
        <v>0</v>
      </c>
      <c r="M624" s="780">
        <v>0</v>
      </c>
      <c r="N624" s="780">
        <v>0</v>
      </c>
    </row>
    <row r="625" spans="1:14" s="812" customFormat="1" ht="14.45" hidden="1" customHeight="1">
      <c r="A625" s="1286"/>
      <c r="B625" s="1292"/>
      <c r="C625" s="1260"/>
      <c r="D625" s="1292"/>
      <c r="E625" s="1256"/>
      <c r="F625" s="1257"/>
      <c r="G625" s="867" t="s">
        <v>22</v>
      </c>
      <c r="H625" s="779">
        <f t="shared" si="90"/>
        <v>0</v>
      </c>
      <c r="I625" s="780">
        <f t="shared" si="91"/>
        <v>0</v>
      </c>
      <c r="J625" s="780">
        <v>0</v>
      </c>
      <c r="K625" s="780">
        <v>0</v>
      </c>
      <c r="L625" s="780">
        <f t="shared" si="92"/>
        <v>0</v>
      </c>
      <c r="M625" s="780">
        <v>0</v>
      </c>
      <c r="N625" s="780">
        <v>0</v>
      </c>
    </row>
    <row r="626" spans="1:14" s="721" customFormat="1" ht="14.45" hidden="1" customHeight="1">
      <c r="A626" s="1282"/>
      <c r="B626" s="1354"/>
      <c r="C626" s="1284"/>
      <c r="D626" s="1354"/>
      <c r="E626" s="1256"/>
      <c r="F626" s="1257"/>
      <c r="G626" s="865" t="s">
        <v>23</v>
      </c>
      <c r="H626" s="808">
        <f t="shared" si="90"/>
        <v>28900</v>
      </c>
      <c r="I626" s="809">
        <f t="shared" si="91"/>
        <v>28900</v>
      </c>
      <c r="J626" s="809">
        <f>J624+J625</f>
        <v>0</v>
      </c>
      <c r="K626" s="809">
        <f>K624+K625</f>
        <v>28900</v>
      </c>
      <c r="L626" s="809">
        <f t="shared" si="92"/>
        <v>0</v>
      </c>
      <c r="M626" s="809">
        <f>M624+M625</f>
        <v>0</v>
      </c>
      <c r="N626" s="809">
        <f>N624+N625</f>
        <v>0</v>
      </c>
    </row>
    <row r="627" spans="1:14" s="812" customFormat="1" ht="14.45" customHeight="1">
      <c r="A627" s="1337"/>
      <c r="B627" s="1338"/>
      <c r="C627" s="1252" t="s">
        <v>309</v>
      </c>
      <c r="D627" s="1253"/>
      <c r="E627" s="1254" t="s">
        <v>1197</v>
      </c>
      <c r="F627" s="1255"/>
      <c r="G627" s="867" t="s">
        <v>21</v>
      </c>
      <c r="H627" s="779">
        <f>I627+L627</f>
        <v>0</v>
      </c>
      <c r="I627" s="780">
        <f>J627+K627</f>
        <v>0</v>
      </c>
      <c r="J627" s="780">
        <v>0</v>
      </c>
      <c r="K627" s="780">
        <v>0</v>
      </c>
      <c r="L627" s="780">
        <f>M627+N627</f>
        <v>0</v>
      </c>
      <c r="M627" s="780">
        <v>0</v>
      </c>
      <c r="N627" s="780">
        <v>0</v>
      </c>
    </row>
    <row r="628" spans="1:14" s="812" customFormat="1" ht="14.45" customHeight="1">
      <c r="A628" s="1286"/>
      <c r="B628" s="1292"/>
      <c r="C628" s="1260"/>
      <c r="D628" s="1292"/>
      <c r="E628" s="1256"/>
      <c r="F628" s="1257"/>
      <c r="G628" s="867" t="s">
        <v>22</v>
      </c>
      <c r="H628" s="779">
        <f>I628+L628</f>
        <v>243000</v>
      </c>
      <c r="I628" s="780">
        <f>J628+K628</f>
        <v>243000</v>
      </c>
      <c r="J628" s="780">
        <v>243000</v>
      </c>
      <c r="K628" s="780">
        <v>0</v>
      </c>
      <c r="L628" s="780">
        <f>M628+N628</f>
        <v>0</v>
      </c>
      <c r="M628" s="780">
        <v>0</v>
      </c>
      <c r="N628" s="780">
        <v>0</v>
      </c>
    </row>
    <row r="629" spans="1:14" s="721" customFormat="1" ht="14.45" customHeight="1">
      <c r="A629" s="1282"/>
      <c r="B629" s="1354"/>
      <c r="C629" s="1303"/>
      <c r="D629" s="1375"/>
      <c r="E629" s="1258"/>
      <c r="F629" s="1259"/>
      <c r="G629" s="862" t="s">
        <v>23</v>
      </c>
      <c r="H629" s="779">
        <f>I629+L629</f>
        <v>243000</v>
      </c>
      <c r="I629" s="780">
        <f>J629+K629</f>
        <v>243000</v>
      </c>
      <c r="J629" s="780">
        <f>J627+J628</f>
        <v>243000</v>
      </c>
      <c r="K629" s="780">
        <f>K627+K628</f>
        <v>0</v>
      </c>
      <c r="L629" s="780">
        <f>M629+N629</f>
        <v>0</v>
      </c>
      <c r="M629" s="780">
        <f>M627+M628</f>
        <v>0</v>
      </c>
      <c r="N629" s="780">
        <f>N627+N628</f>
        <v>0</v>
      </c>
    </row>
    <row r="630" spans="1:14" s="812" customFormat="1" ht="18" hidden="1" customHeight="1">
      <c r="A630" s="1286"/>
      <c r="B630" s="1287"/>
      <c r="C630" s="1260" t="s">
        <v>312</v>
      </c>
      <c r="D630" s="1261"/>
      <c r="E630" s="1288" t="s">
        <v>1198</v>
      </c>
      <c r="F630" s="1289"/>
      <c r="G630" s="863" t="s">
        <v>21</v>
      </c>
      <c r="H630" s="820">
        <f t="shared" si="90"/>
        <v>0</v>
      </c>
      <c r="I630" s="821">
        <f t="shared" si="91"/>
        <v>0</v>
      </c>
      <c r="J630" s="821">
        <v>0</v>
      </c>
      <c r="K630" s="821">
        <v>0</v>
      </c>
      <c r="L630" s="821">
        <f t="shared" si="92"/>
        <v>0</v>
      </c>
      <c r="M630" s="821">
        <v>0</v>
      </c>
      <c r="N630" s="821">
        <v>0</v>
      </c>
    </row>
    <row r="631" spans="1:14" s="812" customFormat="1" ht="18" hidden="1" customHeight="1">
      <c r="A631" s="1286"/>
      <c r="B631" s="1287"/>
      <c r="C631" s="1260"/>
      <c r="D631" s="1261"/>
      <c r="E631" s="1288"/>
      <c r="F631" s="1289"/>
      <c r="G631" s="860" t="s">
        <v>22</v>
      </c>
      <c r="H631" s="779">
        <f t="shared" si="90"/>
        <v>0</v>
      </c>
      <c r="I631" s="780">
        <f t="shared" si="91"/>
        <v>0</v>
      </c>
      <c r="J631" s="780">
        <v>0</v>
      </c>
      <c r="K631" s="780">
        <v>0</v>
      </c>
      <c r="L631" s="780">
        <f t="shared" si="92"/>
        <v>0</v>
      </c>
      <c r="M631" s="780">
        <v>0</v>
      </c>
      <c r="N631" s="780">
        <v>0</v>
      </c>
    </row>
    <row r="632" spans="1:14" s="721" customFormat="1" ht="18" hidden="1" customHeight="1">
      <c r="A632" s="1282"/>
      <c r="B632" s="1283"/>
      <c r="C632" s="1284"/>
      <c r="D632" s="1285"/>
      <c r="E632" s="1290"/>
      <c r="F632" s="1291"/>
      <c r="G632" s="811" t="s">
        <v>23</v>
      </c>
      <c r="H632" s="808">
        <f t="shared" si="90"/>
        <v>0</v>
      </c>
      <c r="I632" s="809">
        <f t="shared" si="91"/>
        <v>0</v>
      </c>
      <c r="J632" s="809">
        <f>J630+J631</f>
        <v>0</v>
      </c>
      <c r="K632" s="809">
        <f>K630+K631</f>
        <v>0</v>
      </c>
      <c r="L632" s="809">
        <f t="shared" si="92"/>
        <v>0</v>
      </c>
      <c r="M632" s="809">
        <f>M630+M631</f>
        <v>0</v>
      </c>
      <c r="N632" s="809">
        <f>N630+N631</f>
        <v>0</v>
      </c>
    </row>
    <row r="633" spans="1:14" s="812" customFormat="1" ht="18" hidden="1" customHeight="1">
      <c r="A633" s="1286"/>
      <c r="B633" s="1287"/>
      <c r="C633" s="1252" t="s">
        <v>315</v>
      </c>
      <c r="D633" s="1253"/>
      <c r="E633" s="1254" t="s">
        <v>1199</v>
      </c>
      <c r="F633" s="1255"/>
      <c r="G633" s="860" t="s">
        <v>21</v>
      </c>
      <c r="H633" s="779">
        <f t="shared" si="90"/>
        <v>100000</v>
      </c>
      <c r="I633" s="780">
        <f t="shared" si="91"/>
        <v>100000</v>
      </c>
      <c r="J633" s="780">
        <v>100000</v>
      </c>
      <c r="K633" s="780">
        <v>0</v>
      </c>
      <c r="L633" s="780">
        <f t="shared" si="92"/>
        <v>0</v>
      </c>
      <c r="M633" s="780">
        <v>0</v>
      </c>
      <c r="N633" s="780">
        <v>0</v>
      </c>
    </row>
    <row r="634" spans="1:14" s="812" customFormat="1" ht="18" hidden="1" customHeight="1">
      <c r="A634" s="1286"/>
      <c r="B634" s="1287"/>
      <c r="C634" s="1260"/>
      <c r="D634" s="1261"/>
      <c r="E634" s="1288"/>
      <c r="F634" s="1289"/>
      <c r="G634" s="860" t="s">
        <v>22</v>
      </c>
      <c r="H634" s="779">
        <f t="shared" si="90"/>
        <v>0</v>
      </c>
      <c r="I634" s="780">
        <f t="shared" si="91"/>
        <v>0</v>
      </c>
      <c r="J634" s="780">
        <v>0</v>
      </c>
      <c r="K634" s="780">
        <v>0</v>
      </c>
      <c r="L634" s="780">
        <f t="shared" si="92"/>
        <v>0</v>
      </c>
      <c r="M634" s="780">
        <v>0</v>
      </c>
      <c r="N634" s="780">
        <v>0</v>
      </c>
    </row>
    <row r="635" spans="1:14" s="721" customFormat="1" ht="18" hidden="1" customHeight="1">
      <c r="A635" s="1282"/>
      <c r="B635" s="1283"/>
      <c r="C635" s="1284"/>
      <c r="D635" s="1285"/>
      <c r="E635" s="1290"/>
      <c r="F635" s="1291"/>
      <c r="G635" s="811" t="s">
        <v>23</v>
      </c>
      <c r="H635" s="808">
        <f t="shared" si="90"/>
        <v>100000</v>
      </c>
      <c r="I635" s="809">
        <f t="shared" si="91"/>
        <v>100000</v>
      </c>
      <c r="J635" s="809">
        <f>J633+J634</f>
        <v>100000</v>
      </c>
      <c r="K635" s="809">
        <f>K633+K634</f>
        <v>0</v>
      </c>
      <c r="L635" s="809">
        <f t="shared" si="92"/>
        <v>0</v>
      </c>
      <c r="M635" s="809">
        <f>M633+M634</f>
        <v>0</v>
      </c>
      <c r="N635" s="809">
        <f>N633+N634</f>
        <v>0</v>
      </c>
    </row>
    <row r="636" spans="1:14" s="812" customFormat="1" ht="15.2" hidden="1" customHeight="1">
      <c r="A636" s="1286"/>
      <c r="B636" s="1287"/>
      <c r="C636" s="1260"/>
      <c r="D636" s="1261"/>
      <c r="E636" s="1254" t="s">
        <v>1200</v>
      </c>
      <c r="F636" s="1255"/>
      <c r="G636" s="867" t="s">
        <v>21</v>
      </c>
      <c r="H636" s="779">
        <f t="shared" si="90"/>
        <v>10000</v>
      </c>
      <c r="I636" s="780">
        <f t="shared" si="91"/>
        <v>10000</v>
      </c>
      <c r="J636" s="780">
        <v>0</v>
      </c>
      <c r="K636" s="780">
        <v>10000</v>
      </c>
      <c r="L636" s="780">
        <f t="shared" si="92"/>
        <v>0</v>
      </c>
      <c r="M636" s="780">
        <v>0</v>
      </c>
      <c r="N636" s="780">
        <v>0</v>
      </c>
    </row>
    <row r="637" spans="1:14" s="812" customFormat="1" ht="15.2" hidden="1" customHeight="1">
      <c r="A637" s="1286"/>
      <c r="B637" s="1292"/>
      <c r="C637" s="1260"/>
      <c r="D637" s="1292"/>
      <c r="E637" s="1256"/>
      <c r="F637" s="1257"/>
      <c r="G637" s="867" t="s">
        <v>22</v>
      </c>
      <c r="H637" s="779">
        <f t="shared" si="90"/>
        <v>0</v>
      </c>
      <c r="I637" s="780">
        <f t="shared" si="91"/>
        <v>0</v>
      </c>
      <c r="J637" s="780">
        <v>0</v>
      </c>
      <c r="K637" s="780">
        <v>0</v>
      </c>
      <c r="L637" s="780">
        <f t="shared" si="92"/>
        <v>0</v>
      </c>
      <c r="M637" s="780">
        <v>0</v>
      </c>
      <c r="N637" s="780">
        <v>0</v>
      </c>
    </row>
    <row r="638" spans="1:14" s="721" customFormat="1" ht="15.2" hidden="1" customHeight="1">
      <c r="A638" s="1282"/>
      <c r="B638" s="1354"/>
      <c r="C638" s="1284"/>
      <c r="D638" s="1354"/>
      <c r="E638" s="1258"/>
      <c r="F638" s="1259"/>
      <c r="G638" s="862" t="s">
        <v>23</v>
      </c>
      <c r="H638" s="779">
        <f t="shared" si="90"/>
        <v>10000</v>
      </c>
      <c r="I638" s="780">
        <f t="shared" si="91"/>
        <v>10000</v>
      </c>
      <c r="J638" s="780">
        <f>J636+J637</f>
        <v>0</v>
      </c>
      <c r="K638" s="780">
        <f>K636+K637</f>
        <v>10000</v>
      </c>
      <c r="L638" s="780">
        <f t="shared" si="92"/>
        <v>0</v>
      </c>
      <c r="M638" s="780">
        <f>M636+M637</f>
        <v>0</v>
      </c>
      <c r="N638" s="780">
        <f>N636+N637</f>
        <v>0</v>
      </c>
    </row>
    <row r="639" spans="1:14" s="812" customFormat="1" ht="27.75" hidden="1" customHeight="1">
      <c r="A639" s="1286"/>
      <c r="B639" s="1287"/>
      <c r="C639" s="1260"/>
      <c r="D639" s="1261"/>
      <c r="E639" s="1262" t="s">
        <v>1201</v>
      </c>
      <c r="F639" s="1255"/>
      <c r="G639" s="867" t="s">
        <v>21</v>
      </c>
      <c r="H639" s="779">
        <f t="shared" si="90"/>
        <v>11400</v>
      </c>
      <c r="I639" s="780">
        <f t="shared" si="91"/>
        <v>11400</v>
      </c>
      <c r="J639" s="780">
        <v>0</v>
      </c>
      <c r="K639" s="780">
        <v>11400</v>
      </c>
      <c r="L639" s="780">
        <f t="shared" si="92"/>
        <v>0</v>
      </c>
      <c r="M639" s="780">
        <v>0</v>
      </c>
      <c r="N639" s="780">
        <v>0</v>
      </c>
    </row>
    <row r="640" spans="1:14" s="812" customFormat="1" ht="27.75" hidden="1" customHeight="1">
      <c r="A640" s="1286"/>
      <c r="B640" s="1292"/>
      <c r="C640" s="1260"/>
      <c r="D640" s="1292"/>
      <c r="E640" s="1256"/>
      <c r="F640" s="1257"/>
      <c r="G640" s="867" t="s">
        <v>22</v>
      </c>
      <c r="H640" s="779">
        <f t="shared" si="90"/>
        <v>0</v>
      </c>
      <c r="I640" s="780">
        <f t="shared" si="91"/>
        <v>0</v>
      </c>
      <c r="J640" s="780">
        <v>0</v>
      </c>
      <c r="K640" s="780">
        <v>0</v>
      </c>
      <c r="L640" s="780">
        <f t="shared" si="92"/>
        <v>0</v>
      </c>
      <c r="M640" s="780">
        <v>0</v>
      </c>
      <c r="N640" s="780">
        <v>0</v>
      </c>
    </row>
    <row r="641" spans="1:14" s="721" customFormat="1" ht="27.75" hidden="1" customHeight="1">
      <c r="A641" s="1282"/>
      <c r="B641" s="1354"/>
      <c r="C641" s="1284"/>
      <c r="D641" s="1354"/>
      <c r="E641" s="1258"/>
      <c r="F641" s="1259"/>
      <c r="G641" s="865" t="s">
        <v>23</v>
      </c>
      <c r="H641" s="808">
        <f t="shared" si="90"/>
        <v>11400</v>
      </c>
      <c r="I641" s="809">
        <f t="shared" si="91"/>
        <v>11400</v>
      </c>
      <c r="J641" s="809">
        <f>J639+J640</f>
        <v>0</v>
      </c>
      <c r="K641" s="809">
        <f>K639+K640</f>
        <v>11400</v>
      </c>
      <c r="L641" s="809">
        <f t="shared" si="92"/>
        <v>0</v>
      </c>
      <c r="M641" s="809">
        <f>M639+M640</f>
        <v>0</v>
      </c>
      <c r="N641" s="809">
        <f>N639+N640</f>
        <v>0</v>
      </c>
    </row>
    <row r="642" spans="1:14" s="812" customFormat="1" ht="14.85" hidden="1" customHeight="1">
      <c r="A642" s="1286"/>
      <c r="B642" s="1287"/>
      <c r="C642" s="1260"/>
      <c r="D642" s="1261"/>
      <c r="E642" s="1254" t="s">
        <v>1202</v>
      </c>
      <c r="F642" s="1255"/>
      <c r="G642" s="867" t="s">
        <v>21</v>
      </c>
      <c r="H642" s="779">
        <f t="shared" si="90"/>
        <v>6000</v>
      </c>
      <c r="I642" s="780">
        <f t="shared" si="91"/>
        <v>6000</v>
      </c>
      <c r="J642" s="780">
        <v>0</v>
      </c>
      <c r="K642" s="780">
        <v>6000</v>
      </c>
      <c r="L642" s="780">
        <f t="shared" si="92"/>
        <v>0</v>
      </c>
      <c r="M642" s="780">
        <v>0</v>
      </c>
      <c r="N642" s="780">
        <v>0</v>
      </c>
    </row>
    <row r="643" spans="1:14" s="812" customFormat="1" ht="14.85" hidden="1" customHeight="1">
      <c r="A643" s="1286"/>
      <c r="B643" s="1292"/>
      <c r="C643" s="1260"/>
      <c r="D643" s="1292"/>
      <c r="E643" s="1256"/>
      <c r="F643" s="1257"/>
      <c r="G643" s="867" t="s">
        <v>22</v>
      </c>
      <c r="H643" s="779">
        <f t="shared" si="90"/>
        <v>0</v>
      </c>
      <c r="I643" s="780">
        <f t="shared" si="91"/>
        <v>0</v>
      </c>
      <c r="J643" s="780">
        <v>0</v>
      </c>
      <c r="K643" s="780">
        <v>0</v>
      </c>
      <c r="L643" s="780">
        <f t="shared" si="92"/>
        <v>0</v>
      </c>
      <c r="M643" s="780">
        <v>0</v>
      </c>
      <c r="N643" s="780">
        <v>0</v>
      </c>
    </row>
    <row r="644" spans="1:14" s="721" customFormat="1" ht="14.85" hidden="1" customHeight="1">
      <c r="A644" s="1282"/>
      <c r="B644" s="1354"/>
      <c r="C644" s="1284"/>
      <c r="D644" s="1354"/>
      <c r="E644" s="1258"/>
      <c r="F644" s="1259"/>
      <c r="G644" s="865" t="s">
        <v>23</v>
      </c>
      <c r="H644" s="808">
        <f t="shared" si="90"/>
        <v>6000</v>
      </c>
      <c r="I644" s="809">
        <f t="shared" si="91"/>
        <v>6000</v>
      </c>
      <c r="J644" s="809">
        <f>J642+J643</f>
        <v>0</v>
      </c>
      <c r="K644" s="809">
        <f>K642+K643</f>
        <v>6000</v>
      </c>
      <c r="L644" s="809">
        <f t="shared" si="92"/>
        <v>0</v>
      </c>
      <c r="M644" s="809">
        <f>M642+M643</f>
        <v>0</v>
      </c>
      <c r="N644" s="809">
        <f>N642+N643</f>
        <v>0</v>
      </c>
    </row>
    <row r="645" spans="1:14" s="812" customFormat="1" ht="14.85" hidden="1" customHeight="1">
      <c r="A645" s="1286"/>
      <c r="B645" s="1287"/>
      <c r="C645" s="1260"/>
      <c r="D645" s="1261"/>
      <c r="E645" s="1254" t="s">
        <v>1203</v>
      </c>
      <c r="F645" s="1255"/>
      <c r="G645" s="867" t="s">
        <v>21</v>
      </c>
      <c r="H645" s="779">
        <f t="shared" si="90"/>
        <v>33000</v>
      </c>
      <c r="I645" s="780">
        <f t="shared" si="91"/>
        <v>33000</v>
      </c>
      <c r="J645" s="780">
        <v>28000</v>
      </c>
      <c r="K645" s="780">
        <v>5000</v>
      </c>
      <c r="L645" s="780">
        <f t="shared" si="92"/>
        <v>0</v>
      </c>
      <c r="M645" s="780">
        <v>0</v>
      </c>
      <c r="N645" s="780">
        <v>0</v>
      </c>
    </row>
    <row r="646" spans="1:14" s="812" customFormat="1" ht="14.85" hidden="1" customHeight="1">
      <c r="A646" s="1286"/>
      <c r="B646" s="1292"/>
      <c r="C646" s="1260"/>
      <c r="D646" s="1292"/>
      <c r="E646" s="1256"/>
      <c r="F646" s="1257"/>
      <c r="G646" s="867" t="s">
        <v>22</v>
      </c>
      <c r="H646" s="779">
        <f t="shared" si="90"/>
        <v>0</v>
      </c>
      <c r="I646" s="780">
        <f t="shared" si="91"/>
        <v>0</v>
      </c>
      <c r="J646" s="780">
        <v>0</v>
      </c>
      <c r="K646" s="780">
        <v>0</v>
      </c>
      <c r="L646" s="780">
        <f t="shared" si="92"/>
        <v>0</v>
      </c>
      <c r="M646" s="780">
        <v>0</v>
      </c>
      <c r="N646" s="780">
        <v>0</v>
      </c>
    </row>
    <row r="647" spans="1:14" s="721" customFormat="1" ht="14.85" hidden="1" customHeight="1">
      <c r="A647" s="1282"/>
      <c r="B647" s="1354"/>
      <c r="C647" s="1284"/>
      <c r="D647" s="1354"/>
      <c r="E647" s="1258"/>
      <c r="F647" s="1259"/>
      <c r="G647" s="865" t="s">
        <v>23</v>
      </c>
      <c r="H647" s="808">
        <f t="shared" si="90"/>
        <v>33000</v>
      </c>
      <c r="I647" s="809">
        <f t="shared" si="91"/>
        <v>33000</v>
      </c>
      <c r="J647" s="809">
        <f>J645+J646</f>
        <v>28000</v>
      </c>
      <c r="K647" s="809">
        <f>K645+K646</f>
        <v>5000</v>
      </c>
      <c r="L647" s="809">
        <f t="shared" si="92"/>
        <v>0</v>
      </c>
      <c r="M647" s="809">
        <f>M645+M646</f>
        <v>0</v>
      </c>
      <c r="N647" s="809">
        <f>N645+N646</f>
        <v>0</v>
      </c>
    </row>
    <row r="648" spans="1:14" s="812" customFormat="1" ht="14.45" hidden="1" customHeight="1">
      <c r="A648" s="1286"/>
      <c r="B648" s="1287"/>
      <c r="C648" s="1260"/>
      <c r="D648" s="1261"/>
      <c r="E648" s="1254" t="s">
        <v>1204</v>
      </c>
      <c r="F648" s="1255"/>
      <c r="G648" s="867" t="s">
        <v>21</v>
      </c>
      <c r="H648" s="779">
        <f t="shared" ref="H648:H720" si="93">I648+L648</f>
        <v>150000</v>
      </c>
      <c r="I648" s="780">
        <f t="shared" ref="I648:I720" si="94">J648+K648</f>
        <v>150000</v>
      </c>
      <c r="J648" s="780">
        <v>0</v>
      </c>
      <c r="K648" s="780">
        <v>150000</v>
      </c>
      <c r="L648" s="780">
        <f t="shared" ref="L648:L720" si="95">M648+N648</f>
        <v>0</v>
      </c>
      <c r="M648" s="780">
        <v>0</v>
      </c>
      <c r="N648" s="780">
        <v>0</v>
      </c>
    </row>
    <row r="649" spans="1:14" s="812" customFormat="1" ht="14.45" hidden="1" customHeight="1">
      <c r="A649" s="1286"/>
      <c r="B649" s="1292"/>
      <c r="C649" s="1260"/>
      <c r="D649" s="1292"/>
      <c r="E649" s="1256"/>
      <c r="F649" s="1257"/>
      <c r="G649" s="867" t="s">
        <v>22</v>
      </c>
      <c r="H649" s="779">
        <f t="shared" si="93"/>
        <v>0</v>
      </c>
      <c r="I649" s="780">
        <f t="shared" si="94"/>
        <v>0</v>
      </c>
      <c r="J649" s="780">
        <v>0</v>
      </c>
      <c r="K649" s="780">
        <v>0</v>
      </c>
      <c r="L649" s="780">
        <f t="shared" si="95"/>
        <v>0</v>
      </c>
      <c r="M649" s="780">
        <v>0</v>
      </c>
      <c r="N649" s="780">
        <v>0</v>
      </c>
    </row>
    <row r="650" spans="1:14" s="721" customFormat="1" ht="14.45" hidden="1" customHeight="1">
      <c r="A650" s="1282"/>
      <c r="B650" s="1354"/>
      <c r="C650" s="1284"/>
      <c r="D650" s="1354"/>
      <c r="E650" s="1258"/>
      <c r="F650" s="1259"/>
      <c r="G650" s="865" t="s">
        <v>23</v>
      </c>
      <c r="H650" s="808">
        <f t="shared" si="93"/>
        <v>150000</v>
      </c>
      <c r="I650" s="809">
        <f t="shared" si="94"/>
        <v>150000</v>
      </c>
      <c r="J650" s="809">
        <f>J648+J649</f>
        <v>0</v>
      </c>
      <c r="K650" s="809">
        <f>K648+K649</f>
        <v>150000</v>
      </c>
      <c r="L650" s="809">
        <f t="shared" si="95"/>
        <v>0</v>
      </c>
      <c r="M650" s="809">
        <f>M648+M649</f>
        <v>0</v>
      </c>
      <c r="N650" s="809">
        <f>N648+N649</f>
        <v>0</v>
      </c>
    </row>
    <row r="651" spans="1:14" s="812" customFormat="1" ht="14.45" hidden="1" customHeight="1">
      <c r="A651" s="1286"/>
      <c r="B651" s="1287"/>
      <c r="C651" s="1260"/>
      <c r="D651" s="1261"/>
      <c r="E651" s="1254" t="s">
        <v>1205</v>
      </c>
      <c r="F651" s="1255"/>
      <c r="G651" s="867" t="s">
        <v>21</v>
      </c>
      <c r="H651" s="779">
        <f t="shared" si="93"/>
        <v>167350</v>
      </c>
      <c r="I651" s="780">
        <f t="shared" si="94"/>
        <v>167350</v>
      </c>
      <c r="J651" s="780">
        <v>29999</v>
      </c>
      <c r="K651" s="780">
        <v>137351</v>
      </c>
      <c r="L651" s="780">
        <f t="shared" si="95"/>
        <v>0</v>
      </c>
      <c r="M651" s="780">
        <v>0</v>
      </c>
      <c r="N651" s="780">
        <v>0</v>
      </c>
    </row>
    <row r="652" spans="1:14" s="812" customFormat="1" ht="14.45" hidden="1" customHeight="1">
      <c r="A652" s="1286"/>
      <c r="B652" s="1292"/>
      <c r="C652" s="1260"/>
      <c r="D652" s="1292"/>
      <c r="E652" s="1256"/>
      <c r="F652" s="1257"/>
      <c r="G652" s="867" t="s">
        <v>22</v>
      </c>
      <c r="H652" s="779">
        <f t="shared" si="93"/>
        <v>0</v>
      </c>
      <c r="I652" s="780">
        <f t="shared" si="94"/>
        <v>0</v>
      </c>
      <c r="J652" s="780">
        <v>0</v>
      </c>
      <c r="K652" s="780">
        <v>0</v>
      </c>
      <c r="L652" s="780">
        <f t="shared" si="95"/>
        <v>0</v>
      </c>
      <c r="M652" s="780">
        <v>0</v>
      </c>
      <c r="N652" s="780">
        <v>0</v>
      </c>
    </row>
    <row r="653" spans="1:14" s="721" customFormat="1" ht="14.45" hidden="1" customHeight="1">
      <c r="A653" s="1282"/>
      <c r="B653" s="1354"/>
      <c r="C653" s="1284"/>
      <c r="D653" s="1354"/>
      <c r="E653" s="1258"/>
      <c r="F653" s="1259"/>
      <c r="G653" s="865" t="s">
        <v>23</v>
      </c>
      <c r="H653" s="808">
        <f t="shared" si="93"/>
        <v>167350</v>
      </c>
      <c r="I653" s="809">
        <f t="shared" si="94"/>
        <v>167350</v>
      </c>
      <c r="J653" s="809">
        <f>J651+J652</f>
        <v>29999</v>
      </c>
      <c r="K653" s="809">
        <f>K651+K652</f>
        <v>137351</v>
      </c>
      <c r="L653" s="809">
        <f t="shared" si="95"/>
        <v>0</v>
      </c>
      <c r="M653" s="809">
        <f>M651+M652</f>
        <v>0</v>
      </c>
      <c r="N653" s="809">
        <f>N651+N652</f>
        <v>0</v>
      </c>
    </row>
    <row r="654" spans="1:14" s="812" customFormat="1" ht="30.95" hidden="1" customHeight="1">
      <c r="A654" s="1286"/>
      <c r="B654" s="1287"/>
      <c r="C654" s="1260"/>
      <c r="D654" s="1261"/>
      <c r="E654" s="1262" t="s">
        <v>1206</v>
      </c>
      <c r="F654" s="1255"/>
      <c r="G654" s="860" t="s">
        <v>21</v>
      </c>
      <c r="H654" s="779">
        <f t="shared" si="93"/>
        <v>89270</v>
      </c>
      <c r="I654" s="780">
        <f t="shared" si="94"/>
        <v>89270</v>
      </c>
      <c r="J654" s="780">
        <v>89270</v>
      </c>
      <c r="K654" s="780">
        <v>0</v>
      </c>
      <c r="L654" s="780">
        <f t="shared" si="95"/>
        <v>0</v>
      </c>
      <c r="M654" s="780">
        <v>0</v>
      </c>
      <c r="N654" s="780">
        <v>0</v>
      </c>
    </row>
    <row r="655" spans="1:14" s="812" customFormat="1" ht="30.95" hidden="1" customHeight="1">
      <c r="A655" s="1286"/>
      <c r="B655" s="1287"/>
      <c r="C655" s="1260"/>
      <c r="D655" s="1261"/>
      <c r="E655" s="1288"/>
      <c r="F655" s="1289"/>
      <c r="G655" s="860" t="s">
        <v>22</v>
      </c>
      <c r="H655" s="779">
        <f t="shared" si="93"/>
        <v>0</v>
      </c>
      <c r="I655" s="780">
        <f t="shared" si="94"/>
        <v>0</v>
      </c>
      <c r="J655" s="780">
        <v>0</v>
      </c>
      <c r="K655" s="780">
        <v>0</v>
      </c>
      <c r="L655" s="780">
        <f t="shared" si="95"/>
        <v>0</v>
      </c>
      <c r="M655" s="780">
        <v>0</v>
      </c>
      <c r="N655" s="780">
        <v>0</v>
      </c>
    </row>
    <row r="656" spans="1:14" s="721" customFormat="1" ht="30.95" hidden="1" customHeight="1">
      <c r="A656" s="1282"/>
      <c r="B656" s="1283"/>
      <c r="C656" s="1284"/>
      <c r="D656" s="1285"/>
      <c r="E656" s="1290"/>
      <c r="F656" s="1291"/>
      <c r="G656" s="818" t="s">
        <v>23</v>
      </c>
      <c r="H656" s="779">
        <f t="shared" si="93"/>
        <v>89270</v>
      </c>
      <c r="I656" s="780">
        <f t="shared" si="94"/>
        <v>89270</v>
      </c>
      <c r="J656" s="780">
        <f>J654+J655</f>
        <v>89270</v>
      </c>
      <c r="K656" s="780">
        <f>K654+K655</f>
        <v>0</v>
      </c>
      <c r="L656" s="780">
        <f t="shared" si="95"/>
        <v>0</v>
      </c>
      <c r="M656" s="780">
        <f>M654+M655</f>
        <v>0</v>
      </c>
      <c r="N656" s="780">
        <f>N654+N655</f>
        <v>0</v>
      </c>
    </row>
    <row r="657" spans="1:14" s="812" customFormat="1" ht="18" hidden="1" customHeight="1">
      <c r="A657" s="1286"/>
      <c r="B657" s="1287"/>
      <c r="C657" s="1260"/>
      <c r="D657" s="1261"/>
      <c r="E657" s="1288" t="s">
        <v>1207</v>
      </c>
      <c r="F657" s="1289"/>
      <c r="G657" s="863" t="s">
        <v>21</v>
      </c>
      <c r="H657" s="820">
        <f t="shared" si="93"/>
        <v>80000</v>
      </c>
      <c r="I657" s="821">
        <f t="shared" si="94"/>
        <v>80000</v>
      </c>
      <c r="J657" s="821">
        <v>80000</v>
      </c>
      <c r="K657" s="821">
        <v>0</v>
      </c>
      <c r="L657" s="821">
        <f t="shared" si="95"/>
        <v>0</v>
      </c>
      <c r="M657" s="821">
        <v>0</v>
      </c>
      <c r="N657" s="821">
        <v>0</v>
      </c>
    </row>
    <row r="658" spans="1:14" s="812" customFormat="1" ht="18" hidden="1" customHeight="1">
      <c r="A658" s="1286"/>
      <c r="B658" s="1287"/>
      <c r="C658" s="1260"/>
      <c r="D658" s="1261"/>
      <c r="E658" s="1288"/>
      <c r="F658" s="1289"/>
      <c r="G658" s="860" t="s">
        <v>22</v>
      </c>
      <c r="H658" s="779">
        <f t="shared" si="93"/>
        <v>0</v>
      </c>
      <c r="I658" s="780">
        <f t="shared" si="94"/>
        <v>0</v>
      </c>
      <c r="J658" s="780">
        <v>0</v>
      </c>
      <c r="K658" s="780">
        <v>0</v>
      </c>
      <c r="L658" s="780">
        <f t="shared" si="95"/>
        <v>0</v>
      </c>
      <c r="M658" s="780">
        <v>0</v>
      </c>
      <c r="N658" s="780">
        <v>0</v>
      </c>
    </row>
    <row r="659" spans="1:14" s="721" customFormat="1" ht="18" hidden="1" customHeight="1">
      <c r="A659" s="1282"/>
      <c r="B659" s="1283"/>
      <c r="C659" s="1284"/>
      <c r="D659" s="1285"/>
      <c r="E659" s="1290"/>
      <c r="F659" s="1291"/>
      <c r="G659" s="811" t="s">
        <v>23</v>
      </c>
      <c r="H659" s="808">
        <f t="shared" si="93"/>
        <v>80000</v>
      </c>
      <c r="I659" s="809">
        <f t="shared" si="94"/>
        <v>80000</v>
      </c>
      <c r="J659" s="809">
        <f>J657+J658</f>
        <v>80000</v>
      </c>
      <c r="K659" s="809">
        <f>K657+K658</f>
        <v>0</v>
      </c>
      <c r="L659" s="809">
        <f t="shared" si="95"/>
        <v>0</v>
      </c>
      <c r="M659" s="809">
        <f>M657+M658</f>
        <v>0</v>
      </c>
      <c r="N659" s="809">
        <f>N657+N658</f>
        <v>0</v>
      </c>
    </row>
    <row r="660" spans="1:14" s="812" customFormat="1" ht="18" hidden="1" customHeight="1">
      <c r="A660" s="1286"/>
      <c r="B660" s="1287"/>
      <c r="C660" s="1260"/>
      <c r="D660" s="1261"/>
      <c r="E660" s="1254" t="s">
        <v>1175</v>
      </c>
      <c r="F660" s="1255"/>
      <c r="G660" s="860" t="s">
        <v>21</v>
      </c>
      <c r="H660" s="779">
        <f t="shared" si="93"/>
        <v>45000</v>
      </c>
      <c r="I660" s="780">
        <f t="shared" si="94"/>
        <v>45000</v>
      </c>
      <c r="J660" s="780">
        <v>0</v>
      </c>
      <c r="K660" s="780">
        <v>45000</v>
      </c>
      <c r="L660" s="780">
        <f t="shared" si="95"/>
        <v>0</v>
      </c>
      <c r="M660" s="780">
        <v>0</v>
      </c>
      <c r="N660" s="780">
        <v>0</v>
      </c>
    </row>
    <row r="661" spans="1:14" s="812" customFormat="1" ht="18" hidden="1" customHeight="1">
      <c r="A661" s="1286"/>
      <c r="B661" s="1287"/>
      <c r="C661" s="1260"/>
      <c r="D661" s="1261"/>
      <c r="E661" s="1288"/>
      <c r="F661" s="1289"/>
      <c r="G661" s="860" t="s">
        <v>22</v>
      </c>
      <c r="H661" s="779">
        <f t="shared" si="93"/>
        <v>0</v>
      </c>
      <c r="I661" s="780">
        <f t="shared" si="94"/>
        <v>0</v>
      </c>
      <c r="J661" s="780">
        <v>0</v>
      </c>
      <c r="K661" s="780">
        <v>0</v>
      </c>
      <c r="L661" s="780">
        <f t="shared" si="95"/>
        <v>0</v>
      </c>
      <c r="M661" s="780">
        <v>0</v>
      </c>
      <c r="N661" s="780">
        <v>0</v>
      </c>
    </row>
    <row r="662" spans="1:14" s="721" customFormat="1" ht="18" hidden="1" customHeight="1">
      <c r="A662" s="1282"/>
      <c r="B662" s="1283"/>
      <c r="C662" s="1284"/>
      <c r="D662" s="1285"/>
      <c r="E662" s="1290"/>
      <c r="F662" s="1291"/>
      <c r="G662" s="811" t="s">
        <v>23</v>
      </c>
      <c r="H662" s="808">
        <f t="shared" si="93"/>
        <v>45000</v>
      </c>
      <c r="I662" s="809">
        <f t="shared" si="94"/>
        <v>45000</v>
      </c>
      <c r="J662" s="809">
        <f>J660+J661</f>
        <v>0</v>
      </c>
      <c r="K662" s="809">
        <f>K660+K661</f>
        <v>45000</v>
      </c>
      <c r="L662" s="809">
        <f t="shared" si="95"/>
        <v>0</v>
      </c>
      <c r="M662" s="809">
        <f>M660+M661</f>
        <v>0</v>
      </c>
      <c r="N662" s="809">
        <f>N660+N661</f>
        <v>0</v>
      </c>
    </row>
    <row r="663" spans="1:14" s="812" customFormat="1" ht="18" hidden="1" customHeight="1">
      <c r="A663" s="1286"/>
      <c r="B663" s="1287"/>
      <c r="C663" s="1260"/>
      <c r="D663" s="1261"/>
      <c r="E663" s="1254" t="s">
        <v>1208</v>
      </c>
      <c r="F663" s="1255"/>
      <c r="G663" s="860" t="s">
        <v>21</v>
      </c>
      <c r="H663" s="779">
        <f t="shared" si="93"/>
        <v>18630</v>
      </c>
      <c r="I663" s="780">
        <f t="shared" si="94"/>
        <v>18630</v>
      </c>
      <c r="J663" s="780">
        <v>0</v>
      </c>
      <c r="K663" s="780">
        <v>18630</v>
      </c>
      <c r="L663" s="780">
        <f t="shared" si="95"/>
        <v>0</v>
      </c>
      <c r="M663" s="780">
        <v>0</v>
      </c>
      <c r="N663" s="780">
        <v>0</v>
      </c>
    </row>
    <row r="664" spans="1:14" s="812" customFormat="1" ht="18" hidden="1" customHeight="1">
      <c r="A664" s="1286"/>
      <c r="B664" s="1287"/>
      <c r="C664" s="1260"/>
      <c r="D664" s="1261"/>
      <c r="E664" s="1288"/>
      <c r="F664" s="1289"/>
      <c r="G664" s="860" t="s">
        <v>22</v>
      </c>
      <c r="H664" s="779">
        <f t="shared" si="93"/>
        <v>0</v>
      </c>
      <c r="I664" s="780">
        <f t="shared" si="94"/>
        <v>0</v>
      </c>
      <c r="J664" s="780">
        <v>0</v>
      </c>
      <c r="K664" s="780">
        <v>0</v>
      </c>
      <c r="L664" s="780">
        <f t="shared" si="95"/>
        <v>0</v>
      </c>
      <c r="M664" s="780">
        <v>0</v>
      </c>
      <c r="N664" s="780">
        <v>0</v>
      </c>
    </row>
    <row r="665" spans="1:14" s="721" customFormat="1" ht="18" hidden="1" customHeight="1">
      <c r="A665" s="1282"/>
      <c r="B665" s="1283"/>
      <c r="C665" s="1284"/>
      <c r="D665" s="1285"/>
      <c r="E665" s="1290"/>
      <c r="F665" s="1291"/>
      <c r="G665" s="811" t="s">
        <v>23</v>
      </c>
      <c r="H665" s="808">
        <f t="shared" si="93"/>
        <v>18630</v>
      </c>
      <c r="I665" s="809">
        <f t="shared" si="94"/>
        <v>18630</v>
      </c>
      <c r="J665" s="809">
        <f>J663+J664</f>
        <v>0</v>
      </c>
      <c r="K665" s="809">
        <f>K663+K664</f>
        <v>18630</v>
      </c>
      <c r="L665" s="809">
        <f t="shared" si="95"/>
        <v>0</v>
      </c>
      <c r="M665" s="809">
        <f>M663+M664</f>
        <v>0</v>
      </c>
      <c r="N665" s="809">
        <f>N663+N664</f>
        <v>0</v>
      </c>
    </row>
    <row r="666" spans="1:14" s="812" customFormat="1" ht="18" hidden="1" customHeight="1">
      <c r="A666" s="1286"/>
      <c r="B666" s="1287"/>
      <c r="C666" s="1260"/>
      <c r="D666" s="1261"/>
      <c r="E666" s="1254" t="s">
        <v>1209</v>
      </c>
      <c r="F666" s="1255"/>
      <c r="G666" s="860" t="s">
        <v>21</v>
      </c>
      <c r="H666" s="779">
        <f t="shared" si="93"/>
        <v>0</v>
      </c>
      <c r="I666" s="780">
        <f t="shared" si="94"/>
        <v>0</v>
      </c>
      <c r="J666" s="780">
        <v>0</v>
      </c>
      <c r="K666" s="780">
        <v>0</v>
      </c>
      <c r="L666" s="780">
        <f t="shared" si="95"/>
        <v>0</v>
      </c>
      <c r="M666" s="780">
        <v>0</v>
      </c>
      <c r="N666" s="780">
        <v>0</v>
      </c>
    </row>
    <row r="667" spans="1:14" s="812" customFormat="1" ht="18" hidden="1" customHeight="1">
      <c r="A667" s="1286"/>
      <c r="B667" s="1287"/>
      <c r="C667" s="1260"/>
      <c r="D667" s="1261"/>
      <c r="E667" s="1288"/>
      <c r="F667" s="1289"/>
      <c r="G667" s="860" t="s">
        <v>22</v>
      </c>
      <c r="H667" s="779">
        <f t="shared" si="93"/>
        <v>0</v>
      </c>
      <c r="I667" s="780">
        <f t="shared" si="94"/>
        <v>0</v>
      </c>
      <c r="J667" s="780">
        <v>0</v>
      </c>
      <c r="K667" s="780">
        <v>0</v>
      </c>
      <c r="L667" s="780">
        <f t="shared" si="95"/>
        <v>0</v>
      </c>
      <c r="M667" s="780">
        <v>0</v>
      </c>
      <c r="N667" s="780">
        <v>0</v>
      </c>
    </row>
    <row r="668" spans="1:14" s="721" customFormat="1" ht="18" hidden="1" customHeight="1">
      <c r="A668" s="1282"/>
      <c r="B668" s="1283"/>
      <c r="C668" s="1284"/>
      <c r="D668" s="1285"/>
      <c r="E668" s="1288"/>
      <c r="F668" s="1289"/>
      <c r="G668" s="811" t="s">
        <v>23</v>
      </c>
      <c r="H668" s="808">
        <f t="shared" si="93"/>
        <v>0</v>
      </c>
      <c r="I668" s="809">
        <f t="shared" si="94"/>
        <v>0</v>
      </c>
      <c r="J668" s="809">
        <f>J666+J667</f>
        <v>0</v>
      </c>
      <c r="K668" s="809">
        <f>K666+K667</f>
        <v>0</v>
      </c>
      <c r="L668" s="809">
        <f t="shared" si="95"/>
        <v>0</v>
      </c>
      <c r="M668" s="809">
        <f>M666+M667</f>
        <v>0</v>
      </c>
      <c r="N668" s="809">
        <f>N666+N667</f>
        <v>0</v>
      </c>
    </row>
    <row r="669" spans="1:14" s="812" customFormat="1" ht="14.85" hidden="1" customHeight="1">
      <c r="A669" s="1286"/>
      <c r="B669" s="1287"/>
      <c r="C669" s="1260"/>
      <c r="D669" s="1261"/>
      <c r="E669" s="1254" t="s">
        <v>1210</v>
      </c>
      <c r="F669" s="1255"/>
      <c r="G669" s="867" t="s">
        <v>21</v>
      </c>
      <c r="H669" s="779">
        <f t="shared" si="93"/>
        <v>10000</v>
      </c>
      <c r="I669" s="780">
        <f t="shared" si="94"/>
        <v>10000</v>
      </c>
      <c r="J669" s="780">
        <v>0</v>
      </c>
      <c r="K669" s="780">
        <v>10000</v>
      </c>
      <c r="L669" s="780">
        <f t="shared" si="95"/>
        <v>0</v>
      </c>
      <c r="M669" s="780">
        <v>0</v>
      </c>
      <c r="N669" s="780">
        <v>0</v>
      </c>
    </row>
    <row r="670" spans="1:14" s="812" customFormat="1" ht="14.85" hidden="1" customHeight="1">
      <c r="A670" s="1286"/>
      <c r="B670" s="1292"/>
      <c r="C670" s="1260"/>
      <c r="D670" s="1292"/>
      <c r="E670" s="1256"/>
      <c r="F670" s="1257"/>
      <c r="G670" s="867" t="s">
        <v>22</v>
      </c>
      <c r="H670" s="779">
        <f t="shared" si="93"/>
        <v>0</v>
      </c>
      <c r="I670" s="780">
        <f t="shared" si="94"/>
        <v>0</v>
      </c>
      <c r="J670" s="780">
        <v>0</v>
      </c>
      <c r="K670" s="780">
        <v>0</v>
      </c>
      <c r="L670" s="780">
        <f t="shared" si="95"/>
        <v>0</v>
      </c>
      <c r="M670" s="780">
        <v>0</v>
      </c>
      <c r="N670" s="780">
        <v>0</v>
      </c>
    </row>
    <row r="671" spans="1:14" s="721" customFormat="1" ht="14.85" hidden="1" customHeight="1">
      <c r="A671" s="1282"/>
      <c r="B671" s="1354"/>
      <c r="C671" s="1284"/>
      <c r="D671" s="1354"/>
      <c r="E671" s="1258"/>
      <c r="F671" s="1259"/>
      <c r="G671" s="865" t="s">
        <v>23</v>
      </c>
      <c r="H671" s="808">
        <f t="shared" si="93"/>
        <v>10000</v>
      </c>
      <c r="I671" s="809">
        <f t="shared" si="94"/>
        <v>10000</v>
      </c>
      <c r="J671" s="809">
        <f>J669+J670</f>
        <v>0</v>
      </c>
      <c r="K671" s="809">
        <f>K669+K670</f>
        <v>10000</v>
      </c>
      <c r="L671" s="809">
        <f t="shared" si="95"/>
        <v>0</v>
      </c>
      <c r="M671" s="809">
        <f>M669+M670</f>
        <v>0</v>
      </c>
      <c r="N671" s="809">
        <f>N669+N670</f>
        <v>0</v>
      </c>
    </row>
    <row r="672" spans="1:14" s="721" customFormat="1" ht="18" hidden="1" customHeight="1">
      <c r="A672" s="1282"/>
      <c r="B672" s="1283"/>
      <c r="C672" s="1280" t="s">
        <v>322</v>
      </c>
      <c r="D672" s="1281"/>
      <c r="E672" s="1262" t="s">
        <v>1211</v>
      </c>
      <c r="F672" s="1374"/>
      <c r="G672" s="860" t="s">
        <v>21</v>
      </c>
      <c r="H672" s="779">
        <f t="shared" si="93"/>
        <v>74000</v>
      </c>
      <c r="I672" s="780">
        <f t="shared" si="94"/>
        <v>74000</v>
      </c>
      <c r="J672" s="780">
        <v>0</v>
      </c>
      <c r="K672" s="780">
        <v>74000</v>
      </c>
      <c r="L672" s="780">
        <f t="shared" si="95"/>
        <v>0</v>
      </c>
      <c r="M672" s="780">
        <v>0</v>
      </c>
      <c r="N672" s="780">
        <v>0</v>
      </c>
    </row>
    <row r="673" spans="1:14" s="721" customFormat="1" ht="18" hidden="1" customHeight="1">
      <c r="A673" s="1282"/>
      <c r="B673" s="1283"/>
      <c r="C673" s="1284"/>
      <c r="D673" s="1285"/>
      <c r="E673" s="1382"/>
      <c r="F673" s="1383"/>
      <c r="G673" s="860" t="s">
        <v>22</v>
      </c>
      <c r="H673" s="779">
        <f t="shared" si="93"/>
        <v>0</v>
      </c>
      <c r="I673" s="780">
        <f t="shared" si="94"/>
        <v>0</v>
      </c>
      <c r="J673" s="780">
        <v>0</v>
      </c>
      <c r="K673" s="780">
        <v>0</v>
      </c>
      <c r="L673" s="780">
        <f t="shared" si="95"/>
        <v>0</v>
      </c>
      <c r="M673" s="780">
        <v>0</v>
      </c>
      <c r="N673" s="780">
        <v>0</v>
      </c>
    </row>
    <row r="674" spans="1:14" s="721" customFormat="1" ht="18" hidden="1" customHeight="1">
      <c r="A674" s="1282"/>
      <c r="B674" s="1283"/>
      <c r="C674" s="1284"/>
      <c r="D674" s="1285"/>
      <c r="E674" s="1384"/>
      <c r="F674" s="1385"/>
      <c r="G674" s="811" t="s">
        <v>23</v>
      </c>
      <c r="H674" s="808">
        <f t="shared" si="93"/>
        <v>74000</v>
      </c>
      <c r="I674" s="809">
        <f t="shared" si="94"/>
        <v>74000</v>
      </c>
      <c r="J674" s="809">
        <f>J672+J673</f>
        <v>0</v>
      </c>
      <c r="K674" s="809">
        <f>K672+K673</f>
        <v>74000</v>
      </c>
      <c r="L674" s="809">
        <f t="shared" si="95"/>
        <v>0</v>
      </c>
      <c r="M674" s="809">
        <f>M672+M673</f>
        <v>0</v>
      </c>
      <c r="N674" s="809">
        <f>N672+N673</f>
        <v>0</v>
      </c>
    </row>
    <row r="675" spans="1:14" s="812" customFormat="1" ht="18" hidden="1" customHeight="1">
      <c r="A675" s="1286"/>
      <c r="B675" s="1287"/>
      <c r="C675" s="1260"/>
      <c r="D675" s="1261"/>
      <c r="E675" s="1254" t="s">
        <v>1212</v>
      </c>
      <c r="F675" s="1255"/>
      <c r="G675" s="860" t="s">
        <v>21</v>
      </c>
      <c r="H675" s="779">
        <f t="shared" si="93"/>
        <v>386349</v>
      </c>
      <c r="I675" s="780">
        <f t="shared" si="94"/>
        <v>386349</v>
      </c>
      <c r="J675" s="780">
        <v>386349</v>
      </c>
      <c r="K675" s="780">
        <v>0</v>
      </c>
      <c r="L675" s="780">
        <f t="shared" si="95"/>
        <v>0</v>
      </c>
      <c r="M675" s="780">
        <v>0</v>
      </c>
      <c r="N675" s="780">
        <v>0</v>
      </c>
    </row>
    <row r="676" spans="1:14" s="812" customFormat="1" ht="18" hidden="1" customHeight="1">
      <c r="A676" s="1286"/>
      <c r="B676" s="1287"/>
      <c r="C676" s="1260"/>
      <c r="D676" s="1261"/>
      <c r="E676" s="1288"/>
      <c r="F676" s="1289"/>
      <c r="G676" s="860" t="s">
        <v>22</v>
      </c>
      <c r="H676" s="779">
        <f t="shared" si="93"/>
        <v>0</v>
      </c>
      <c r="I676" s="780">
        <f t="shared" si="94"/>
        <v>0</v>
      </c>
      <c r="J676" s="780">
        <v>0</v>
      </c>
      <c r="K676" s="780">
        <v>0</v>
      </c>
      <c r="L676" s="780">
        <f t="shared" si="95"/>
        <v>0</v>
      </c>
      <c r="M676" s="780">
        <v>0</v>
      </c>
      <c r="N676" s="780">
        <v>0</v>
      </c>
    </row>
    <row r="677" spans="1:14" s="721" customFormat="1" ht="18" hidden="1" customHeight="1">
      <c r="A677" s="1282"/>
      <c r="B677" s="1283"/>
      <c r="C677" s="1284"/>
      <c r="D677" s="1285"/>
      <c r="E677" s="1290"/>
      <c r="F677" s="1291"/>
      <c r="G677" s="811" t="s">
        <v>23</v>
      </c>
      <c r="H677" s="808">
        <f t="shared" si="93"/>
        <v>386349</v>
      </c>
      <c r="I677" s="809">
        <f t="shared" si="94"/>
        <v>386349</v>
      </c>
      <c r="J677" s="809">
        <f>J675+J676</f>
        <v>386349</v>
      </c>
      <c r="K677" s="809">
        <f>K675+K676</f>
        <v>0</v>
      </c>
      <c r="L677" s="809">
        <f t="shared" si="95"/>
        <v>0</v>
      </c>
      <c r="M677" s="809">
        <f>M675+M676</f>
        <v>0</v>
      </c>
      <c r="N677" s="809">
        <f>N675+N676</f>
        <v>0</v>
      </c>
    </row>
    <row r="678" spans="1:14" s="812" customFormat="1" ht="18" hidden="1" customHeight="1">
      <c r="A678" s="1286"/>
      <c r="B678" s="1287"/>
      <c r="C678" s="1260"/>
      <c r="D678" s="1261"/>
      <c r="E678" s="1254" t="s">
        <v>1213</v>
      </c>
      <c r="F678" s="1255"/>
      <c r="G678" s="860" t="s">
        <v>21</v>
      </c>
      <c r="H678" s="779">
        <f t="shared" si="93"/>
        <v>30299</v>
      </c>
      <c r="I678" s="780">
        <f t="shared" si="94"/>
        <v>30299</v>
      </c>
      <c r="J678" s="780">
        <v>30299</v>
      </c>
      <c r="K678" s="780">
        <v>0</v>
      </c>
      <c r="L678" s="780">
        <f t="shared" si="95"/>
        <v>0</v>
      </c>
      <c r="M678" s="780">
        <v>0</v>
      </c>
      <c r="N678" s="780">
        <v>0</v>
      </c>
    </row>
    <row r="679" spans="1:14" s="812" customFormat="1" ht="18" hidden="1" customHeight="1">
      <c r="A679" s="1286"/>
      <c r="B679" s="1287"/>
      <c r="C679" s="1260"/>
      <c r="D679" s="1261"/>
      <c r="E679" s="1288"/>
      <c r="F679" s="1289"/>
      <c r="G679" s="860" t="s">
        <v>22</v>
      </c>
      <c r="H679" s="779">
        <f t="shared" si="93"/>
        <v>0</v>
      </c>
      <c r="I679" s="780">
        <f t="shared" si="94"/>
        <v>0</v>
      </c>
      <c r="J679" s="780">
        <v>0</v>
      </c>
      <c r="K679" s="780">
        <v>0</v>
      </c>
      <c r="L679" s="780">
        <f t="shared" si="95"/>
        <v>0</v>
      </c>
      <c r="M679" s="780">
        <v>0</v>
      </c>
      <c r="N679" s="780">
        <v>0</v>
      </c>
    </row>
    <row r="680" spans="1:14" s="721" customFormat="1" ht="18" hidden="1" customHeight="1">
      <c r="A680" s="1282"/>
      <c r="B680" s="1283"/>
      <c r="C680" s="1284"/>
      <c r="D680" s="1285"/>
      <c r="E680" s="1290"/>
      <c r="F680" s="1291"/>
      <c r="G680" s="811" t="s">
        <v>23</v>
      </c>
      <c r="H680" s="808">
        <f t="shared" si="93"/>
        <v>30299</v>
      </c>
      <c r="I680" s="809">
        <f t="shared" si="94"/>
        <v>30299</v>
      </c>
      <c r="J680" s="809">
        <f>J678+J679</f>
        <v>30299</v>
      </c>
      <c r="K680" s="809">
        <f>K678+K679</f>
        <v>0</v>
      </c>
      <c r="L680" s="809">
        <f t="shared" si="95"/>
        <v>0</v>
      </c>
      <c r="M680" s="809">
        <f>M678+M679</f>
        <v>0</v>
      </c>
      <c r="N680" s="809">
        <f>N678+N679</f>
        <v>0</v>
      </c>
    </row>
    <row r="681" spans="1:14" s="812" customFormat="1" ht="18" hidden="1" customHeight="1">
      <c r="A681" s="1286"/>
      <c r="B681" s="1287"/>
      <c r="C681" s="1260"/>
      <c r="D681" s="1261"/>
      <c r="E681" s="1254" t="s">
        <v>1214</v>
      </c>
      <c r="F681" s="1255"/>
      <c r="G681" s="860" t="s">
        <v>21</v>
      </c>
      <c r="H681" s="779">
        <f t="shared" si="93"/>
        <v>63400</v>
      </c>
      <c r="I681" s="780">
        <f t="shared" si="94"/>
        <v>63400</v>
      </c>
      <c r="J681" s="780">
        <v>0</v>
      </c>
      <c r="K681" s="780">
        <v>63400</v>
      </c>
      <c r="L681" s="780">
        <f t="shared" si="95"/>
        <v>0</v>
      </c>
      <c r="M681" s="780">
        <v>0</v>
      </c>
      <c r="N681" s="780">
        <v>0</v>
      </c>
    </row>
    <row r="682" spans="1:14" s="812" customFormat="1" ht="18" hidden="1" customHeight="1">
      <c r="A682" s="1286"/>
      <c r="B682" s="1287"/>
      <c r="C682" s="1260"/>
      <c r="D682" s="1261"/>
      <c r="E682" s="1288"/>
      <c r="F682" s="1289"/>
      <c r="G682" s="860" t="s">
        <v>22</v>
      </c>
      <c r="H682" s="779">
        <f t="shared" si="93"/>
        <v>0</v>
      </c>
      <c r="I682" s="780">
        <f t="shared" si="94"/>
        <v>0</v>
      </c>
      <c r="J682" s="780">
        <v>0</v>
      </c>
      <c r="K682" s="780">
        <v>0</v>
      </c>
      <c r="L682" s="780">
        <f t="shared" si="95"/>
        <v>0</v>
      </c>
      <c r="M682" s="780">
        <v>0</v>
      </c>
      <c r="N682" s="780">
        <v>0</v>
      </c>
    </row>
    <row r="683" spans="1:14" s="721" customFormat="1" ht="18" hidden="1" customHeight="1">
      <c r="A683" s="1282"/>
      <c r="B683" s="1283"/>
      <c r="C683" s="1284"/>
      <c r="D683" s="1285"/>
      <c r="E683" s="1290"/>
      <c r="F683" s="1291"/>
      <c r="G683" s="811" t="s">
        <v>23</v>
      </c>
      <c r="H683" s="808">
        <f t="shared" si="93"/>
        <v>63400</v>
      </c>
      <c r="I683" s="809">
        <f t="shared" si="94"/>
        <v>63400</v>
      </c>
      <c r="J683" s="809">
        <f>J681+J682</f>
        <v>0</v>
      </c>
      <c r="K683" s="809">
        <f>K681+K682</f>
        <v>63400</v>
      </c>
      <c r="L683" s="809">
        <f t="shared" si="95"/>
        <v>0</v>
      </c>
      <c r="M683" s="809">
        <f>M681+M682</f>
        <v>0</v>
      </c>
      <c r="N683" s="809">
        <f>N681+N682</f>
        <v>0</v>
      </c>
    </row>
    <row r="684" spans="1:14" s="812" customFormat="1" ht="18" hidden="1" customHeight="1">
      <c r="A684" s="1286"/>
      <c r="B684" s="1287"/>
      <c r="C684" s="1260"/>
      <c r="D684" s="1261"/>
      <c r="E684" s="1254" t="s">
        <v>1215</v>
      </c>
      <c r="F684" s="1255"/>
      <c r="G684" s="860" t="s">
        <v>21</v>
      </c>
      <c r="H684" s="779">
        <f>I684+L684</f>
        <v>10016</v>
      </c>
      <c r="I684" s="780">
        <f>J684+K684</f>
        <v>10016</v>
      </c>
      <c r="J684" s="780">
        <v>0</v>
      </c>
      <c r="K684" s="780">
        <v>10016</v>
      </c>
      <c r="L684" s="780">
        <f>M684+N684</f>
        <v>0</v>
      </c>
      <c r="M684" s="780">
        <v>0</v>
      </c>
      <c r="N684" s="780">
        <v>0</v>
      </c>
    </row>
    <row r="685" spans="1:14" s="812" customFormat="1" ht="18" hidden="1" customHeight="1">
      <c r="A685" s="1286"/>
      <c r="B685" s="1287"/>
      <c r="C685" s="1260"/>
      <c r="D685" s="1261"/>
      <c r="E685" s="1288"/>
      <c r="F685" s="1289"/>
      <c r="G685" s="860" t="s">
        <v>22</v>
      </c>
      <c r="H685" s="779">
        <f>I685+L685</f>
        <v>0</v>
      </c>
      <c r="I685" s="780">
        <f>J685+K685</f>
        <v>0</v>
      </c>
      <c r="J685" s="780">
        <v>0</v>
      </c>
      <c r="K685" s="780">
        <v>0</v>
      </c>
      <c r="L685" s="780">
        <f>M685+N685</f>
        <v>0</v>
      </c>
      <c r="M685" s="780">
        <v>0</v>
      </c>
      <c r="N685" s="780">
        <v>0</v>
      </c>
    </row>
    <row r="686" spans="1:14" s="721" customFormat="1" ht="18" hidden="1" customHeight="1">
      <c r="A686" s="1282"/>
      <c r="B686" s="1283"/>
      <c r="C686" s="1284"/>
      <c r="D686" s="1285"/>
      <c r="E686" s="1290"/>
      <c r="F686" s="1291"/>
      <c r="G686" s="811" t="s">
        <v>23</v>
      </c>
      <c r="H686" s="808">
        <f>I686+L686</f>
        <v>10016</v>
      </c>
      <c r="I686" s="809">
        <f>J686+K686</f>
        <v>10016</v>
      </c>
      <c r="J686" s="809">
        <f>J684+J685</f>
        <v>0</v>
      </c>
      <c r="K686" s="809">
        <f>K684+K685</f>
        <v>10016</v>
      </c>
      <c r="L686" s="809">
        <f>M686+N686</f>
        <v>0</v>
      </c>
      <c r="M686" s="809">
        <f>M684+M685</f>
        <v>0</v>
      </c>
      <c r="N686" s="809">
        <f>N684+N685</f>
        <v>0</v>
      </c>
    </row>
    <row r="687" spans="1:14" s="812" customFormat="1" ht="18" hidden="1" customHeight="1">
      <c r="A687" s="1286"/>
      <c r="B687" s="1287"/>
      <c r="C687" s="1260"/>
      <c r="D687" s="1261"/>
      <c r="E687" s="1254" t="s">
        <v>1216</v>
      </c>
      <c r="F687" s="1255"/>
      <c r="G687" s="860" t="s">
        <v>21</v>
      </c>
      <c r="H687" s="779">
        <f t="shared" si="93"/>
        <v>0</v>
      </c>
      <c r="I687" s="780">
        <f t="shared" si="94"/>
        <v>0</v>
      </c>
      <c r="J687" s="780">
        <v>0</v>
      </c>
      <c r="K687" s="780">
        <v>0</v>
      </c>
      <c r="L687" s="780">
        <f t="shared" si="95"/>
        <v>0</v>
      </c>
      <c r="M687" s="780">
        <v>0</v>
      </c>
      <c r="N687" s="780">
        <v>0</v>
      </c>
    </row>
    <row r="688" spans="1:14" s="812" customFormat="1" ht="18" hidden="1" customHeight="1">
      <c r="A688" s="1286"/>
      <c r="B688" s="1287"/>
      <c r="C688" s="1260"/>
      <c r="D688" s="1261"/>
      <c r="E688" s="1288"/>
      <c r="F688" s="1289"/>
      <c r="G688" s="860" t="s">
        <v>22</v>
      </c>
      <c r="H688" s="779">
        <f t="shared" si="93"/>
        <v>0</v>
      </c>
      <c r="I688" s="780">
        <f t="shared" si="94"/>
        <v>0</v>
      </c>
      <c r="J688" s="780">
        <v>0</v>
      </c>
      <c r="K688" s="780">
        <v>0</v>
      </c>
      <c r="L688" s="780">
        <f t="shared" si="95"/>
        <v>0</v>
      </c>
      <c r="M688" s="780">
        <v>0</v>
      </c>
      <c r="N688" s="780">
        <v>0</v>
      </c>
    </row>
    <row r="689" spans="1:14" s="721" customFormat="1" ht="18" hidden="1" customHeight="1">
      <c r="A689" s="1282"/>
      <c r="B689" s="1283"/>
      <c r="C689" s="1284"/>
      <c r="D689" s="1285"/>
      <c r="E689" s="1290"/>
      <c r="F689" s="1291"/>
      <c r="G689" s="818" t="s">
        <v>23</v>
      </c>
      <c r="H689" s="779">
        <f t="shared" si="93"/>
        <v>0</v>
      </c>
      <c r="I689" s="780">
        <f t="shared" si="94"/>
        <v>0</v>
      </c>
      <c r="J689" s="780">
        <f>J687+J688</f>
        <v>0</v>
      </c>
      <c r="K689" s="780">
        <f>K687+K688</f>
        <v>0</v>
      </c>
      <c r="L689" s="780">
        <f t="shared" si="95"/>
        <v>0</v>
      </c>
      <c r="M689" s="780">
        <f>M687+M688</f>
        <v>0</v>
      </c>
      <c r="N689" s="780">
        <f>N687+N688</f>
        <v>0</v>
      </c>
    </row>
    <row r="690" spans="1:14" s="812" customFormat="1" ht="18" hidden="1" customHeight="1">
      <c r="A690" s="1286"/>
      <c r="B690" s="1287"/>
      <c r="C690" s="1260"/>
      <c r="D690" s="1261"/>
      <c r="E690" s="1254" t="s">
        <v>1217</v>
      </c>
      <c r="F690" s="1255"/>
      <c r="G690" s="860" t="s">
        <v>21</v>
      </c>
      <c r="H690" s="779">
        <f>I690+L690</f>
        <v>22504</v>
      </c>
      <c r="I690" s="780">
        <f>J690+K690</f>
        <v>22504</v>
      </c>
      <c r="J690" s="780">
        <v>22504</v>
      </c>
      <c r="K690" s="780">
        <v>0</v>
      </c>
      <c r="L690" s="780">
        <f>M690+N690</f>
        <v>0</v>
      </c>
      <c r="M690" s="780">
        <v>0</v>
      </c>
      <c r="N690" s="780">
        <v>0</v>
      </c>
    </row>
    <row r="691" spans="1:14" s="812" customFormat="1" ht="18" hidden="1" customHeight="1">
      <c r="A691" s="1286"/>
      <c r="B691" s="1287"/>
      <c r="C691" s="1260"/>
      <c r="D691" s="1261"/>
      <c r="E691" s="1288"/>
      <c r="F691" s="1289"/>
      <c r="G691" s="860" t="s">
        <v>22</v>
      </c>
      <c r="H691" s="779">
        <f>I691+L691</f>
        <v>0</v>
      </c>
      <c r="I691" s="780">
        <f>J691+K691</f>
        <v>0</v>
      </c>
      <c r="J691" s="780">
        <v>0</v>
      </c>
      <c r="K691" s="780">
        <v>0</v>
      </c>
      <c r="L691" s="780">
        <f>M691+N691</f>
        <v>0</v>
      </c>
      <c r="M691" s="780">
        <v>0</v>
      </c>
      <c r="N691" s="780">
        <v>0</v>
      </c>
    </row>
    <row r="692" spans="1:14" s="721" customFormat="1" ht="18" hidden="1" customHeight="1">
      <c r="A692" s="1282"/>
      <c r="B692" s="1283"/>
      <c r="C692" s="1284"/>
      <c r="D692" s="1285"/>
      <c r="E692" s="1290"/>
      <c r="F692" s="1291"/>
      <c r="G692" s="811" t="s">
        <v>23</v>
      </c>
      <c r="H692" s="808">
        <f>I692+L692</f>
        <v>22504</v>
      </c>
      <c r="I692" s="809">
        <f>J692+K692</f>
        <v>22504</v>
      </c>
      <c r="J692" s="809">
        <f>J690+J691</f>
        <v>22504</v>
      </c>
      <c r="K692" s="809">
        <f>K690+K691</f>
        <v>0</v>
      </c>
      <c r="L692" s="809">
        <f>M692+N692</f>
        <v>0</v>
      </c>
      <c r="M692" s="809">
        <f>M690+M691</f>
        <v>0</v>
      </c>
      <c r="N692" s="809">
        <f>N690+N691</f>
        <v>0</v>
      </c>
    </row>
    <row r="693" spans="1:14" s="812" customFormat="1" ht="18" hidden="1" customHeight="1">
      <c r="A693" s="1286"/>
      <c r="B693" s="1287"/>
      <c r="C693" s="1260"/>
      <c r="D693" s="1261"/>
      <c r="E693" s="1254" t="s">
        <v>1218</v>
      </c>
      <c r="F693" s="1255"/>
      <c r="G693" s="860" t="s">
        <v>21</v>
      </c>
      <c r="H693" s="779">
        <f t="shared" si="93"/>
        <v>24024</v>
      </c>
      <c r="I693" s="780">
        <f t="shared" si="94"/>
        <v>24024</v>
      </c>
      <c r="J693" s="780">
        <v>0</v>
      </c>
      <c r="K693" s="780">
        <v>24024</v>
      </c>
      <c r="L693" s="780">
        <f t="shared" si="95"/>
        <v>0</v>
      </c>
      <c r="M693" s="780">
        <v>0</v>
      </c>
      <c r="N693" s="780">
        <v>0</v>
      </c>
    </row>
    <row r="694" spans="1:14" s="812" customFormat="1" ht="18" hidden="1" customHeight="1">
      <c r="A694" s="1286"/>
      <c r="B694" s="1287"/>
      <c r="C694" s="1260"/>
      <c r="D694" s="1261"/>
      <c r="E694" s="1288"/>
      <c r="F694" s="1289"/>
      <c r="G694" s="860" t="s">
        <v>22</v>
      </c>
      <c r="H694" s="779">
        <f t="shared" si="93"/>
        <v>0</v>
      </c>
      <c r="I694" s="780">
        <f t="shared" si="94"/>
        <v>0</v>
      </c>
      <c r="J694" s="780">
        <v>0</v>
      </c>
      <c r="K694" s="780">
        <v>0</v>
      </c>
      <c r="L694" s="780">
        <f t="shared" si="95"/>
        <v>0</v>
      </c>
      <c r="M694" s="780">
        <v>0</v>
      </c>
      <c r="N694" s="780">
        <v>0</v>
      </c>
    </row>
    <row r="695" spans="1:14" s="721" customFormat="1" ht="18" hidden="1" customHeight="1">
      <c r="A695" s="1282"/>
      <c r="B695" s="1283"/>
      <c r="C695" s="1284"/>
      <c r="D695" s="1285"/>
      <c r="E695" s="1290"/>
      <c r="F695" s="1291"/>
      <c r="G695" s="811" t="s">
        <v>23</v>
      </c>
      <c r="H695" s="808">
        <f t="shared" si="93"/>
        <v>24024</v>
      </c>
      <c r="I695" s="809">
        <f t="shared" si="94"/>
        <v>24024</v>
      </c>
      <c r="J695" s="809">
        <f>J693+J694</f>
        <v>0</v>
      </c>
      <c r="K695" s="809">
        <f>K693+K694</f>
        <v>24024</v>
      </c>
      <c r="L695" s="809">
        <f t="shared" si="95"/>
        <v>0</v>
      </c>
      <c r="M695" s="809">
        <f>M693+M694</f>
        <v>0</v>
      </c>
      <c r="N695" s="809">
        <f>N693+N694</f>
        <v>0</v>
      </c>
    </row>
    <row r="696" spans="1:14" s="812" customFormat="1" ht="18" hidden="1" customHeight="1">
      <c r="A696" s="1286"/>
      <c r="B696" s="1287"/>
      <c r="C696" s="1260"/>
      <c r="D696" s="1261"/>
      <c r="E696" s="1254" t="s">
        <v>1219</v>
      </c>
      <c r="F696" s="1255"/>
      <c r="G696" s="860" t="s">
        <v>21</v>
      </c>
      <c r="H696" s="779">
        <f t="shared" si="93"/>
        <v>500000</v>
      </c>
      <c r="I696" s="780">
        <f t="shared" si="94"/>
        <v>500000</v>
      </c>
      <c r="J696" s="780">
        <v>500000</v>
      </c>
      <c r="K696" s="780">
        <v>0</v>
      </c>
      <c r="L696" s="780">
        <f t="shared" si="95"/>
        <v>0</v>
      </c>
      <c r="M696" s="780">
        <v>0</v>
      </c>
      <c r="N696" s="780">
        <v>0</v>
      </c>
    </row>
    <row r="697" spans="1:14" s="812" customFormat="1" ht="18" hidden="1" customHeight="1">
      <c r="A697" s="1286"/>
      <c r="B697" s="1287"/>
      <c r="C697" s="1260"/>
      <c r="D697" s="1261"/>
      <c r="E697" s="1288"/>
      <c r="F697" s="1289"/>
      <c r="G697" s="860" t="s">
        <v>22</v>
      </c>
      <c r="H697" s="779">
        <f t="shared" si="93"/>
        <v>0</v>
      </c>
      <c r="I697" s="780">
        <f t="shared" si="94"/>
        <v>0</v>
      </c>
      <c r="J697" s="780">
        <v>0</v>
      </c>
      <c r="K697" s="780">
        <v>0</v>
      </c>
      <c r="L697" s="780">
        <f t="shared" si="95"/>
        <v>0</v>
      </c>
      <c r="M697" s="780">
        <v>0</v>
      </c>
      <c r="N697" s="780">
        <v>0</v>
      </c>
    </row>
    <row r="698" spans="1:14" s="721" customFormat="1" ht="18" hidden="1" customHeight="1">
      <c r="A698" s="1282"/>
      <c r="B698" s="1283"/>
      <c r="C698" s="1284"/>
      <c r="D698" s="1285"/>
      <c r="E698" s="1290"/>
      <c r="F698" s="1291"/>
      <c r="G698" s="811" t="s">
        <v>23</v>
      </c>
      <c r="H698" s="808">
        <f t="shared" si="93"/>
        <v>500000</v>
      </c>
      <c r="I698" s="809">
        <f t="shared" si="94"/>
        <v>500000</v>
      </c>
      <c r="J698" s="809">
        <f>J696+J697</f>
        <v>500000</v>
      </c>
      <c r="K698" s="809">
        <f>K696+K697</f>
        <v>0</v>
      </c>
      <c r="L698" s="809">
        <f t="shared" si="95"/>
        <v>0</v>
      </c>
      <c r="M698" s="809">
        <f>M696+M697</f>
        <v>0</v>
      </c>
      <c r="N698" s="809">
        <f>N696+N697</f>
        <v>0</v>
      </c>
    </row>
    <row r="699" spans="1:14" s="812" customFormat="1" ht="18" hidden="1" customHeight="1">
      <c r="A699" s="1286"/>
      <c r="B699" s="1287"/>
      <c r="C699" s="1260"/>
      <c r="D699" s="1261"/>
      <c r="E699" s="1254" t="s">
        <v>1220</v>
      </c>
      <c r="F699" s="1255"/>
      <c r="G699" s="860" t="s">
        <v>21</v>
      </c>
      <c r="H699" s="779">
        <f t="shared" si="93"/>
        <v>9900</v>
      </c>
      <c r="I699" s="780">
        <f t="shared" si="94"/>
        <v>9900</v>
      </c>
      <c r="J699" s="780">
        <v>0</v>
      </c>
      <c r="K699" s="780">
        <v>9900</v>
      </c>
      <c r="L699" s="780">
        <f t="shared" si="95"/>
        <v>0</v>
      </c>
      <c r="M699" s="780">
        <v>0</v>
      </c>
      <c r="N699" s="780">
        <v>0</v>
      </c>
    </row>
    <row r="700" spans="1:14" s="812" customFormat="1" ht="18" hidden="1" customHeight="1">
      <c r="A700" s="1286"/>
      <c r="B700" s="1287"/>
      <c r="C700" s="1260"/>
      <c r="D700" s="1261"/>
      <c r="E700" s="1288"/>
      <c r="F700" s="1289"/>
      <c r="G700" s="860" t="s">
        <v>22</v>
      </c>
      <c r="H700" s="779">
        <f t="shared" si="93"/>
        <v>0</v>
      </c>
      <c r="I700" s="780">
        <f t="shared" si="94"/>
        <v>0</v>
      </c>
      <c r="J700" s="780">
        <v>0</v>
      </c>
      <c r="K700" s="780">
        <v>0</v>
      </c>
      <c r="L700" s="780">
        <f t="shared" si="95"/>
        <v>0</v>
      </c>
      <c r="M700" s="780">
        <v>0</v>
      </c>
      <c r="N700" s="780">
        <v>0</v>
      </c>
    </row>
    <row r="701" spans="1:14" s="721" customFormat="1" ht="18" hidden="1" customHeight="1">
      <c r="A701" s="1282"/>
      <c r="B701" s="1283"/>
      <c r="C701" s="1284"/>
      <c r="D701" s="1285"/>
      <c r="E701" s="1290"/>
      <c r="F701" s="1291"/>
      <c r="G701" s="811" t="s">
        <v>23</v>
      </c>
      <c r="H701" s="808">
        <f t="shared" si="93"/>
        <v>9900</v>
      </c>
      <c r="I701" s="809">
        <f t="shared" si="94"/>
        <v>9900</v>
      </c>
      <c r="J701" s="809">
        <f>J699+J700</f>
        <v>0</v>
      </c>
      <c r="K701" s="809">
        <f>K699+K700</f>
        <v>9900</v>
      </c>
      <c r="L701" s="809">
        <f t="shared" si="95"/>
        <v>0</v>
      </c>
      <c r="M701" s="809">
        <f>M699+M700</f>
        <v>0</v>
      </c>
      <c r="N701" s="809">
        <f>N699+N700</f>
        <v>0</v>
      </c>
    </row>
    <row r="702" spans="1:14" s="812" customFormat="1" ht="18" hidden="1" customHeight="1">
      <c r="A702" s="1286"/>
      <c r="B702" s="1287"/>
      <c r="C702" s="1260"/>
      <c r="D702" s="1261"/>
      <c r="E702" s="1254" t="s">
        <v>1221</v>
      </c>
      <c r="F702" s="1255"/>
      <c r="G702" s="860" t="s">
        <v>21</v>
      </c>
      <c r="H702" s="779">
        <f t="shared" si="93"/>
        <v>47100</v>
      </c>
      <c r="I702" s="780">
        <f t="shared" si="94"/>
        <v>47100</v>
      </c>
      <c r="J702" s="780">
        <v>42230</v>
      </c>
      <c r="K702" s="780">
        <v>4870</v>
      </c>
      <c r="L702" s="780">
        <f t="shared" si="95"/>
        <v>0</v>
      </c>
      <c r="M702" s="780">
        <v>0</v>
      </c>
      <c r="N702" s="780">
        <v>0</v>
      </c>
    </row>
    <row r="703" spans="1:14" s="812" customFormat="1" ht="18" hidden="1" customHeight="1">
      <c r="A703" s="1286"/>
      <c r="B703" s="1287"/>
      <c r="C703" s="1260"/>
      <c r="D703" s="1261"/>
      <c r="E703" s="1288"/>
      <c r="F703" s="1289"/>
      <c r="G703" s="860" t="s">
        <v>22</v>
      </c>
      <c r="H703" s="779">
        <f t="shared" si="93"/>
        <v>0</v>
      </c>
      <c r="I703" s="780">
        <f t="shared" si="94"/>
        <v>0</v>
      </c>
      <c r="J703" s="780">
        <v>0</v>
      </c>
      <c r="K703" s="780">
        <v>0</v>
      </c>
      <c r="L703" s="780">
        <f t="shared" si="95"/>
        <v>0</v>
      </c>
      <c r="M703" s="780">
        <v>0</v>
      </c>
      <c r="N703" s="780">
        <v>0</v>
      </c>
    </row>
    <row r="704" spans="1:14" s="721" customFormat="1" ht="18" hidden="1" customHeight="1">
      <c r="A704" s="1282"/>
      <c r="B704" s="1283"/>
      <c r="C704" s="1284"/>
      <c r="D704" s="1285"/>
      <c r="E704" s="1290"/>
      <c r="F704" s="1291"/>
      <c r="G704" s="811" t="s">
        <v>23</v>
      </c>
      <c r="H704" s="808">
        <f t="shared" si="93"/>
        <v>47100</v>
      </c>
      <c r="I704" s="809">
        <f t="shared" si="94"/>
        <v>47100</v>
      </c>
      <c r="J704" s="809">
        <f>J702+J703</f>
        <v>42230</v>
      </c>
      <c r="K704" s="809">
        <f>K702+K703</f>
        <v>4870</v>
      </c>
      <c r="L704" s="809">
        <f t="shared" si="95"/>
        <v>0</v>
      </c>
      <c r="M704" s="809">
        <f>M702+M703</f>
        <v>0</v>
      </c>
      <c r="N704" s="809">
        <f>N702+N703</f>
        <v>0</v>
      </c>
    </row>
    <row r="705" spans="1:14" s="812" customFormat="1" ht="18" hidden="1" customHeight="1">
      <c r="A705" s="1286"/>
      <c r="B705" s="1287"/>
      <c r="C705" s="1260"/>
      <c r="D705" s="1261"/>
      <c r="E705" s="1254" t="s">
        <v>1222</v>
      </c>
      <c r="F705" s="1255"/>
      <c r="G705" s="860" t="s">
        <v>21</v>
      </c>
      <c r="H705" s="779">
        <f t="shared" si="93"/>
        <v>75704</v>
      </c>
      <c r="I705" s="780">
        <f t="shared" si="94"/>
        <v>75704</v>
      </c>
      <c r="J705" s="780">
        <v>5226</v>
      </c>
      <c r="K705" s="780">
        <v>70478</v>
      </c>
      <c r="L705" s="780">
        <f t="shared" si="95"/>
        <v>0</v>
      </c>
      <c r="M705" s="780">
        <v>0</v>
      </c>
      <c r="N705" s="780">
        <v>0</v>
      </c>
    </row>
    <row r="706" spans="1:14" s="812" customFormat="1" ht="18" hidden="1" customHeight="1">
      <c r="A706" s="1286"/>
      <c r="B706" s="1287"/>
      <c r="C706" s="1260"/>
      <c r="D706" s="1261"/>
      <c r="E706" s="1288"/>
      <c r="F706" s="1289"/>
      <c r="G706" s="860" t="s">
        <v>22</v>
      </c>
      <c r="H706" s="779">
        <f t="shared" si="93"/>
        <v>0</v>
      </c>
      <c r="I706" s="780">
        <f t="shared" si="94"/>
        <v>0</v>
      </c>
      <c r="J706" s="780">
        <v>0</v>
      </c>
      <c r="K706" s="780">
        <v>0</v>
      </c>
      <c r="L706" s="780">
        <f t="shared" si="95"/>
        <v>0</v>
      </c>
      <c r="M706" s="780">
        <v>0</v>
      </c>
      <c r="N706" s="780">
        <v>0</v>
      </c>
    </row>
    <row r="707" spans="1:14" s="721" customFormat="1" ht="18" hidden="1" customHeight="1">
      <c r="A707" s="1282"/>
      <c r="B707" s="1283"/>
      <c r="C707" s="1284"/>
      <c r="D707" s="1285"/>
      <c r="E707" s="1290"/>
      <c r="F707" s="1291"/>
      <c r="G707" s="811" t="s">
        <v>23</v>
      </c>
      <c r="H707" s="808">
        <f t="shared" si="93"/>
        <v>75704</v>
      </c>
      <c r="I707" s="809">
        <f t="shared" si="94"/>
        <v>75704</v>
      </c>
      <c r="J707" s="809">
        <f>J705+J706</f>
        <v>5226</v>
      </c>
      <c r="K707" s="809">
        <f>K705+K706</f>
        <v>70478</v>
      </c>
      <c r="L707" s="809">
        <f t="shared" si="95"/>
        <v>0</v>
      </c>
      <c r="M707" s="809">
        <f>M705+M706</f>
        <v>0</v>
      </c>
      <c r="N707" s="809">
        <f>N705+N706</f>
        <v>0</v>
      </c>
    </row>
    <row r="708" spans="1:14" s="721" customFormat="1" ht="18" hidden="1" customHeight="1">
      <c r="A708" s="1282"/>
      <c r="B708" s="1283"/>
      <c r="C708" s="1280" t="s">
        <v>1107</v>
      </c>
      <c r="D708" s="1281"/>
      <c r="E708" s="1262" t="s">
        <v>1223</v>
      </c>
      <c r="F708" s="1374"/>
      <c r="G708" s="860" t="s">
        <v>21</v>
      </c>
      <c r="H708" s="779">
        <f t="shared" si="93"/>
        <v>970687</v>
      </c>
      <c r="I708" s="780">
        <f t="shared" si="94"/>
        <v>196000</v>
      </c>
      <c r="J708" s="780">
        <v>0</v>
      </c>
      <c r="K708" s="780">
        <v>196000</v>
      </c>
      <c r="L708" s="780">
        <f t="shared" si="95"/>
        <v>774687</v>
      </c>
      <c r="M708" s="780">
        <v>0</v>
      </c>
      <c r="N708" s="780">
        <v>774687</v>
      </c>
    </row>
    <row r="709" spans="1:14" s="721" customFormat="1" ht="18" hidden="1" customHeight="1">
      <c r="A709" s="1282"/>
      <c r="B709" s="1283"/>
      <c r="C709" s="1284"/>
      <c r="D709" s="1285"/>
      <c r="E709" s="1382"/>
      <c r="F709" s="1383"/>
      <c r="G709" s="860" t="s">
        <v>22</v>
      </c>
      <c r="H709" s="779">
        <f t="shared" si="93"/>
        <v>0</v>
      </c>
      <c r="I709" s="780">
        <f t="shared" si="94"/>
        <v>0</v>
      </c>
      <c r="J709" s="780">
        <v>0</v>
      </c>
      <c r="K709" s="780">
        <v>0</v>
      </c>
      <c r="L709" s="780">
        <f t="shared" si="95"/>
        <v>0</v>
      </c>
      <c r="M709" s="780">
        <v>0</v>
      </c>
      <c r="N709" s="780">
        <v>0</v>
      </c>
    </row>
    <row r="710" spans="1:14" s="721" customFormat="1" ht="18" hidden="1" customHeight="1">
      <c r="A710" s="1282"/>
      <c r="B710" s="1283"/>
      <c r="C710" s="1284"/>
      <c r="D710" s="1285"/>
      <c r="E710" s="1382"/>
      <c r="F710" s="1383"/>
      <c r="G710" s="811" t="s">
        <v>23</v>
      </c>
      <c r="H710" s="808">
        <f t="shared" si="93"/>
        <v>970687</v>
      </c>
      <c r="I710" s="809">
        <f t="shared" si="94"/>
        <v>196000</v>
      </c>
      <c r="J710" s="809">
        <f>J708+J709</f>
        <v>0</v>
      </c>
      <c r="K710" s="809">
        <f>K708+K709</f>
        <v>196000</v>
      </c>
      <c r="L710" s="809">
        <f t="shared" si="95"/>
        <v>774687</v>
      </c>
      <c r="M710" s="809">
        <f>M708+M709</f>
        <v>0</v>
      </c>
      <c r="N710" s="809">
        <f>N708+N709</f>
        <v>774687</v>
      </c>
    </row>
    <row r="711" spans="1:14" s="812" customFormat="1" ht="18" customHeight="1">
      <c r="A711" s="1286"/>
      <c r="B711" s="1287"/>
      <c r="C711" s="1252" t="s">
        <v>331</v>
      </c>
      <c r="D711" s="1253"/>
      <c r="E711" s="1254" t="s">
        <v>1224</v>
      </c>
      <c r="F711" s="1255"/>
      <c r="G711" s="860" t="s">
        <v>21</v>
      </c>
      <c r="H711" s="779">
        <f t="shared" si="93"/>
        <v>1100000</v>
      </c>
      <c r="I711" s="780">
        <f t="shared" si="94"/>
        <v>0</v>
      </c>
      <c r="J711" s="780">
        <v>0</v>
      </c>
      <c r="K711" s="780">
        <v>0</v>
      </c>
      <c r="L711" s="780">
        <f t="shared" si="95"/>
        <v>1100000</v>
      </c>
      <c r="M711" s="780">
        <v>0</v>
      </c>
      <c r="N711" s="780">
        <v>1100000</v>
      </c>
    </row>
    <row r="712" spans="1:14" s="812" customFormat="1" ht="18" customHeight="1">
      <c r="A712" s="1286"/>
      <c r="B712" s="1287"/>
      <c r="C712" s="1260"/>
      <c r="D712" s="1261"/>
      <c r="E712" s="1288"/>
      <c r="F712" s="1289"/>
      <c r="G712" s="860" t="s">
        <v>22</v>
      </c>
      <c r="H712" s="779">
        <f t="shared" si="93"/>
        <v>-227605</v>
      </c>
      <c r="I712" s="780">
        <f t="shared" si="94"/>
        <v>0</v>
      </c>
      <c r="J712" s="780">
        <v>0</v>
      </c>
      <c r="K712" s="780">
        <v>0</v>
      </c>
      <c r="L712" s="780">
        <f t="shared" si="95"/>
        <v>-227605</v>
      </c>
      <c r="M712" s="780">
        <v>0</v>
      </c>
      <c r="N712" s="780">
        <v>-227605</v>
      </c>
    </row>
    <row r="713" spans="1:14" s="721" customFormat="1" ht="18" customHeight="1">
      <c r="A713" s="1282"/>
      <c r="B713" s="1283"/>
      <c r="C713" s="1284"/>
      <c r="D713" s="1285"/>
      <c r="E713" s="1288"/>
      <c r="F713" s="1289"/>
      <c r="G713" s="811" t="s">
        <v>23</v>
      </c>
      <c r="H713" s="808">
        <f t="shared" si="93"/>
        <v>872395</v>
      </c>
      <c r="I713" s="809">
        <f t="shared" si="94"/>
        <v>0</v>
      </c>
      <c r="J713" s="809">
        <f>J711+J712</f>
        <v>0</v>
      </c>
      <c r="K713" s="809">
        <f>K711+K712</f>
        <v>0</v>
      </c>
      <c r="L713" s="809">
        <f t="shared" si="95"/>
        <v>872395</v>
      </c>
      <c r="M713" s="809">
        <f>M711+M712</f>
        <v>0</v>
      </c>
      <c r="N713" s="809">
        <f>N711+N712</f>
        <v>872395</v>
      </c>
    </row>
    <row r="714" spans="1:14" s="721" customFormat="1" ht="18" customHeight="1">
      <c r="A714" s="1282"/>
      <c r="B714" s="1283"/>
      <c r="C714" s="1284"/>
      <c r="D714" s="1285"/>
      <c r="E714" s="1254" t="s">
        <v>1225</v>
      </c>
      <c r="F714" s="1255"/>
      <c r="G714" s="860" t="s">
        <v>21</v>
      </c>
      <c r="H714" s="779">
        <f t="shared" si="93"/>
        <v>280000</v>
      </c>
      <c r="I714" s="780">
        <f t="shared" si="94"/>
        <v>280000</v>
      </c>
      <c r="J714" s="780">
        <v>0</v>
      </c>
      <c r="K714" s="780">
        <v>280000</v>
      </c>
      <c r="L714" s="780">
        <f t="shared" si="95"/>
        <v>0</v>
      </c>
      <c r="M714" s="780">
        <v>0</v>
      </c>
      <c r="N714" s="780">
        <v>0</v>
      </c>
    </row>
    <row r="715" spans="1:14" s="721" customFormat="1" ht="18" customHeight="1">
      <c r="A715" s="1282"/>
      <c r="B715" s="1283"/>
      <c r="C715" s="1284"/>
      <c r="D715" s="1285"/>
      <c r="E715" s="1288"/>
      <c r="F715" s="1289"/>
      <c r="G715" s="860" t="s">
        <v>22</v>
      </c>
      <c r="H715" s="779">
        <f t="shared" si="93"/>
        <v>-99455</v>
      </c>
      <c r="I715" s="780">
        <f t="shared" si="94"/>
        <v>-99455</v>
      </c>
      <c r="J715" s="780">
        <v>0</v>
      </c>
      <c r="K715" s="780">
        <v>-99455</v>
      </c>
      <c r="L715" s="780">
        <f t="shared" si="95"/>
        <v>0</v>
      </c>
      <c r="M715" s="780">
        <v>0</v>
      </c>
      <c r="N715" s="780">
        <v>0</v>
      </c>
    </row>
    <row r="716" spans="1:14" s="721" customFormat="1" ht="18" customHeight="1">
      <c r="A716" s="1282"/>
      <c r="B716" s="1283"/>
      <c r="C716" s="1284"/>
      <c r="D716" s="1285"/>
      <c r="E716" s="1290"/>
      <c r="F716" s="1291"/>
      <c r="G716" s="811" t="s">
        <v>23</v>
      </c>
      <c r="H716" s="808">
        <f t="shared" si="93"/>
        <v>180545</v>
      </c>
      <c r="I716" s="809">
        <f t="shared" si="94"/>
        <v>180545</v>
      </c>
      <c r="J716" s="809">
        <f>J714+J715</f>
        <v>0</v>
      </c>
      <c r="K716" s="809">
        <f>K714+K715</f>
        <v>180545</v>
      </c>
      <c r="L716" s="809">
        <f t="shared" si="95"/>
        <v>0</v>
      </c>
      <c r="M716" s="809">
        <f>M714+M715</f>
        <v>0</v>
      </c>
      <c r="N716" s="809">
        <f>N714+N715</f>
        <v>0</v>
      </c>
    </row>
    <row r="717" spans="1:14" s="812" customFormat="1" ht="18" hidden="1" customHeight="1">
      <c r="A717" s="1286"/>
      <c r="B717" s="1287"/>
      <c r="C717" s="1260"/>
      <c r="D717" s="1261"/>
      <c r="E717" s="1254" t="s">
        <v>1226</v>
      </c>
      <c r="F717" s="1255"/>
      <c r="G717" s="860" t="s">
        <v>21</v>
      </c>
      <c r="H717" s="779">
        <f t="shared" si="93"/>
        <v>50000</v>
      </c>
      <c r="I717" s="780">
        <f t="shared" si="94"/>
        <v>50000</v>
      </c>
      <c r="J717" s="780">
        <v>0</v>
      </c>
      <c r="K717" s="780">
        <v>50000</v>
      </c>
      <c r="L717" s="780">
        <f t="shared" si="95"/>
        <v>0</v>
      </c>
      <c r="M717" s="780">
        <v>0</v>
      </c>
      <c r="N717" s="780">
        <v>0</v>
      </c>
    </row>
    <row r="718" spans="1:14" s="812" customFormat="1" ht="18" hidden="1" customHeight="1">
      <c r="A718" s="1286"/>
      <c r="B718" s="1287"/>
      <c r="C718" s="1260"/>
      <c r="D718" s="1261"/>
      <c r="E718" s="1288"/>
      <c r="F718" s="1289"/>
      <c r="G718" s="860" t="s">
        <v>22</v>
      </c>
      <c r="H718" s="779">
        <f t="shared" si="93"/>
        <v>0</v>
      </c>
      <c r="I718" s="780">
        <f t="shared" si="94"/>
        <v>0</v>
      </c>
      <c r="J718" s="780">
        <v>0</v>
      </c>
      <c r="K718" s="780">
        <v>0</v>
      </c>
      <c r="L718" s="780">
        <f t="shared" si="95"/>
        <v>0</v>
      </c>
      <c r="M718" s="780">
        <v>0</v>
      </c>
      <c r="N718" s="780">
        <v>0</v>
      </c>
    </row>
    <row r="719" spans="1:14" s="721" customFormat="1" ht="18" hidden="1" customHeight="1">
      <c r="A719" s="1282"/>
      <c r="B719" s="1283"/>
      <c r="C719" s="1284"/>
      <c r="D719" s="1285"/>
      <c r="E719" s="1290"/>
      <c r="F719" s="1291"/>
      <c r="G719" s="811" t="s">
        <v>23</v>
      </c>
      <c r="H719" s="808">
        <f t="shared" si="93"/>
        <v>50000</v>
      </c>
      <c r="I719" s="809">
        <f t="shared" si="94"/>
        <v>50000</v>
      </c>
      <c r="J719" s="809">
        <f>J717+J718</f>
        <v>0</v>
      </c>
      <c r="K719" s="809">
        <f>K717+K718</f>
        <v>50000</v>
      </c>
      <c r="L719" s="809">
        <f t="shared" si="95"/>
        <v>0</v>
      </c>
      <c r="M719" s="809">
        <f>M717+M718</f>
        <v>0</v>
      </c>
      <c r="N719" s="809">
        <f>N717+N718</f>
        <v>0</v>
      </c>
    </row>
    <row r="720" spans="1:14" s="812" customFormat="1" ht="18" hidden="1" customHeight="1">
      <c r="A720" s="1286"/>
      <c r="B720" s="1287"/>
      <c r="C720" s="1260"/>
      <c r="D720" s="1261"/>
      <c r="E720" s="1254" t="s">
        <v>1227</v>
      </c>
      <c r="F720" s="1255"/>
      <c r="G720" s="860" t="s">
        <v>21</v>
      </c>
      <c r="H720" s="779">
        <f t="shared" si="93"/>
        <v>0</v>
      </c>
      <c r="I720" s="780">
        <f t="shared" si="94"/>
        <v>0</v>
      </c>
      <c r="J720" s="780">
        <v>0</v>
      </c>
      <c r="K720" s="780">
        <v>0</v>
      </c>
      <c r="L720" s="780">
        <f t="shared" si="95"/>
        <v>0</v>
      </c>
      <c r="M720" s="780">
        <v>0</v>
      </c>
      <c r="N720" s="780">
        <v>0</v>
      </c>
    </row>
    <row r="721" spans="1:14" s="812" customFormat="1" ht="18" hidden="1" customHeight="1">
      <c r="A721" s="1286"/>
      <c r="B721" s="1287"/>
      <c r="C721" s="1260"/>
      <c r="D721" s="1261"/>
      <c r="E721" s="1288"/>
      <c r="F721" s="1289"/>
      <c r="G721" s="860" t="s">
        <v>22</v>
      </c>
      <c r="H721" s="779">
        <f t="shared" ref="H721:H743" si="96">I721+L721</f>
        <v>0</v>
      </c>
      <c r="I721" s="780">
        <f t="shared" ref="I721:I743" si="97">J721+K721</f>
        <v>0</v>
      </c>
      <c r="J721" s="780">
        <v>0</v>
      </c>
      <c r="K721" s="780">
        <v>0</v>
      </c>
      <c r="L721" s="780">
        <f t="shared" ref="L721:L743" si="98">M721+N721</f>
        <v>0</v>
      </c>
      <c r="M721" s="780">
        <v>0</v>
      </c>
      <c r="N721" s="780">
        <v>0</v>
      </c>
    </row>
    <row r="722" spans="1:14" s="721" customFormat="1" ht="18" hidden="1" customHeight="1">
      <c r="A722" s="1282"/>
      <c r="B722" s="1283"/>
      <c r="C722" s="1284"/>
      <c r="D722" s="1285"/>
      <c r="E722" s="1290"/>
      <c r="F722" s="1291"/>
      <c r="G722" s="811" t="s">
        <v>23</v>
      </c>
      <c r="H722" s="808">
        <f t="shared" si="96"/>
        <v>0</v>
      </c>
      <c r="I722" s="809">
        <f t="shared" si="97"/>
        <v>0</v>
      </c>
      <c r="J722" s="809">
        <f>J720+J721</f>
        <v>0</v>
      </c>
      <c r="K722" s="809">
        <f>K720+K721</f>
        <v>0</v>
      </c>
      <c r="L722" s="809">
        <f t="shared" si="98"/>
        <v>0</v>
      </c>
      <c r="M722" s="809">
        <f>M720+M721</f>
        <v>0</v>
      </c>
      <c r="N722" s="809">
        <f>N720+N721</f>
        <v>0</v>
      </c>
    </row>
    <row r="723" spans="1:14" s="812" customFormat="1" ht="18" hidden="1" customHeight="1">
      <c r="A723" s="1286"/>
      <c r="B723" s="1287"/>
      <c r="C723" s="1260"/>
      <c r="D723" s="1261"/>
      <c r="E723" s="1254" t="s">
        <v>1172</v>
      </c>
      <c r="F723" s="1255"/>
      <c r="G723" s="860" t="s">
        <v>21</v>
      </c>
      <c r="H723" s="779">
        <f t="shared" si="96"/>
        <v>0</v>
      </c>
      <c r="I723" s="780">
        <f t="shared" si="97"/>
        <v>0</v>
      </c>
      <c r="J723" s="780">
        <v>0</v>
      </c>
      <c r="K723" s="780">
        <v>0</v>
      </c>
      <c r="L723" s="780">
        <f t="shared" si="98"/>
        <v>0</v>
      </c>
      <c r="M723" s="780">
        <v>0</v>
      </c>
      <c r="N723" s="780">
        <v>0</v>
      </c>
    </row>
    <row r="724" spans="1:14" s="812" customFormat="1" ht="18" hidden="1" customHeight="1">
      <c r="A724" s="1286"/>
      <c r="B724" s="1287"/>
      <c r="C724" s="1260"/>
      <c r="D724" s="1261"/>
      <c r="E724" s="1288"/>
      <c r="F724" s="1289"/>
      <c r="G724" s="860" t="s">
        <v>22</v>
      </c>
      <c r="H724" s="779">
        <f t="shared" si="96"/>
        <v>0</v>
      </c>
      <c r="I724" s="780">
        <f t="shared" si="97"/>
        <v>0</v>
      </c>
      <c r="J724" s="780">
        <v>0</v>
      </c>
      <c r="K724" s="780">
        <v>0</v>
      </c>
      <c r="L724" s="780">
        <f t="shared" si="98"/>
        <v>0</v>
      </c>
      <c r="M724" s="780">
        <v>0</v>
      </c>
      <c r="N724" s="780">
        <v>0</v>
      </c>
    </row>
    <row r="725" spans="1:14" s="721" customFormat="1" ht="18" hidden="1" customHeight="1">
      <c r="A725" s="1282"/>
      <c r="B725" s="1283"/>
      <c r="C725" s="1284"/>
      <c r="D725" s="1285"/>
      <c r="E725" s="1290"/>
      <c r="F725" s="1291"/>
      <c r="G725" s="818" t="s">
        <v>23</v>
      </c>
      <c r="H725" s="779">
        <f t="shared" si="96"/>
        <v>0</v>
      </c>
      <c r="I725" s="780">
        <f t="shared" si="97"/>
        <v>0</v>
      </c>
      <c r="J725" s="780">
        <f>J723+J724</f>
        <v>0</v>
      </c>
      <c r="K725" s="780">
        <f>K723+K724</f>
        <v>0</v>
      </c>
      <c r="L725" s="780">
        <f t="shared" si="98"/>
        <v>0</v>
      </c>
      <c r="M725" s="780">
        <f>M723+M724</f>
        <v>0</v>
      </c>
      <c r="N725" s="780">
        <f>N723+N724</f>
        <v>0</v>
      </c>
    </row>
    <row r="726" spans="1:14" s="812" customFormat="1" ht="18" hidden="1" customHeight="1">
      <c r="A726" s="1286"/>
      <c r="B726" s="1287"/>
      <c r="C726" s="1260"/>
      <c r="D726" s="1261"/>
      <c r="E726" s="1288" t="s">
        <v>1173</v>
      </c>
      <c r="F726" s="1289"/>
      <c r="G726" s="863" t="s">
        <v>21</v>
      </c>
      <c r="H726" s="820">
        <f t="shared" si="96"/>
        <v>450000</v>
      </c>
      <c r="I726" s="821">
        <f t="shared" si="97"/>
        <v>450000</v>
      </c>
      <c r="J726" s="821">
        <v>0</v>
      </c>
      <c r="K726" s="821">
        <v>450000</v>
      </c>
      <c r="L726" s="821">
        <f t="shared" si="98"/>
        <v>0</v>
      </c>
      <c r="M726" s="821">
        <v>0</v>
      </c>
      <c r="N726" s="821">
        <v>0</v>
      </c>
    </row>
    <row r="727" spans="1:14" s="812" customFormat="1" ht="18" hidden="1" customHeight="1">
      <c r="A727" s="1286"/>
      <c r="B727" s="1287"/>
      <c r="C727" s="1260"/>
      <c r="D727" s="1261"/>
      <c r="E727" s="1288"/>
      <c r="F727" s="1289"/>
      <c r="G727" s="860" t="s">
        <v>22</v>
      </c>
      <c r="H727" s="779">
        <f t="shared" si="96"/>
        <v>0</v>
      </c>
      <c r="I727" s="780">
        <f t="shared" si="97"/>
        <v>0</v>
      </c>
      <c r="J727" s="780">
        <v>0</v>
      </c>
      <c r="K727" s="780">
        <v>0</v>
      </c>
      <c r="L727" s="780">
        <f t="shared" si="98"/>
        <v>0</v>
      </c>
      <c r="M727" s="780">
        <v>0</v>
      </c>
      <c r="N727" s="780">
        <v>0</v>
      </c>
    </row>
    <row r="728" spans="1:14" s="721" customFormat="1" ht="18" hidden="1" customHeight="1">
      <c r="A728" s="1282"/>
      <c r="B728" s="1283"/>
      <c r="C728" s="1284"/>
      <c r="D728" s="1285"/>
      <c r="E728" s="1290"/>
      <c r="F728" s="1291"/>
      <c r="G728" s="811" t="s">
        <v>23</v>
      </c>
      <c r="H728" s="808">
        <f t="shared" si="96"/>
        <v>450000</v>
      </c>
      <c r="I728" s="809">
        <f t="shared" si="97"/>
        <v>450000</v>
      </c>
      <c r="J728" s="809">
        <f>J726+J727</f>
        <v>0</v>
      </c>
      <c r="K728" s="809">
        <f>K726+K727</f>
        <v>450000</v>
      </c>
      <c r="L728" s="809">
        <f t="shared" si="98"/>
        <v>0</v>
      </c>
      <c r="M728" s="809">
        <f>M726+M727</f>
        <v>0</v>
      </c>
      <c r="N728" s="809">
        <f>N726+N727</f>
        <v>0</v>
      </c>
    </row>
    <row r="729" spans="1:14" s="812" customFormat="1" ht="18" hidden="1" customHeight="1">
      <c r="A729" s="1286"/>
      <c r="B729" s="1287"/>
      <c r="C729" s="1260"/>
      <c r="D729" s="1261"/>
      <c r="E729" s="1254" t="s">
        <v>1228</v>
      </c>
      <c r="F729" s="1255"/>
      <c r="G729" s="860" t="s">
        <v>21</v>
      </c>
      <c r="H729" s="779">
        <f t="shared" si="96"/>
        <v>0</v>
      </c>
      <c r="I729" s="780">
        <f t="shared" si="97"/>
        <v>0</v>
      </c>
      <c r="J729" s="780">
        <v>0</v>
      </c>
      <c r="K729" s="780">
        <v>0</v>
      </c>
      <c r="L729" s="780">
        <f t="shared" si="98"/>
        <v>0</v>
      </c>
      <c r="M729" s="780">
        <v>0</v>
      </c>
      <c r="N729" s="780">
        <v>0</v>
      </c>
    </row>
    <row r="730" spans="1:14" s="812" customFormat="1" ht="18" hidden="1" customHeight="1">
      <c r="A730" s="1286"/>
      <c r="B730" s="1287"/>
      <c r="C730" s="1260"/>
      <c r="D730" s="1261"/>
      <c r="E730" s="1288"/>
      <c r="F730" s="1289"/>
      <c r="G730" s="860" t="s">
        <v>22</v>
      </c>
      <c r="H730" s="779">
        <f t="shared" si="96"/>
        <v>0</v>
      </c>
      <c r="I730" s="780">
        <f t="shared" si="97"/>
        <v>0</v>
      </c>
      <c r="J730" s="780">
        <v>0</v>
      </c>
      <c r="K730" s="780">
        <v>0</v>
      </c>
      <c r="L730" s="780">
        <f t="shared" si="98"/>
        <v>0</v>
      </c>
      <c r="M730" s="780">
        <v>0</v>
      </c>
      <c r="N730" s="780">
        <v>0</v>
      </c>
    </row>
    <row r="731" spans="1:14" s="721" customFormat="1" ht="18" hidden="1" customHeight="1">
      <c r="A731" s="1282"/>
      <c r="B731" s="1283"/>
      <c r="C731" s="1284"/>
      <c r="D731" s="1285"/>
      <c r="E731" s="1288"/>
      <c r="F731" s="1289"/>
      <c r="G731" s="811" t="s">
        <v>23</v>
      </c>
      <c r="H731" s="808">
        <f t="shared" si="96"/>
        <v>0</v>
      </c>
      <c r="I731" s="809">
        <f t="shared" si="97"/>
        <v>0</v>
      </c>
      <c r="J731" s="809">
        <f>J729+J730</f>
        <v>0</v>
      </c>
      <c r="K731" s="809">
        <f>K729+K730</f>
        <v>0</v>
      </c>
      <c r="L731" s="809">
        <f t="shared" si="98"/>
        <v>0</v>
      </c>
      <c r="M731" s="809">
        <f>M729+M730</f>
        <v>0</v>
      </c>
      <c r="N731" s="809">
        <f>N729+N730</f>
        <v>0</v>
      </c>
    </row>
    <row r="732" spans="1:14" s="812" customFormat="1" ht="18" hidden="1" customHeight="1">
      <c r="A732" s="1286"/>
      <c r="B732" s="1287"/>
      <c r="C732" s="1260"/>
      <c r="D732" s="1261"/>
      <c r="E732" s="1254" t="s">
        <v>1229</v>
      </c>
      <c r="F732" s="1255"/>
      <c r="G732" s="860" t="s">
        <v>21</v>
      </c>
      <c r="H732" s="779">
        <f t="shared" si="96"/>
        <v>100000</v>
      </c>
      <c r="I732" s="780">
        <f t="shared" si="97"/>
        <v>0</v>
      </c>
      <c r="J732" s="780">
        <v>0</v>
      </c>
      <c r="K732" s="780">
        <v>0</v>
      </c>
      <c r="L732" s="780">
        <f t="shared" si="98"/>
        <v>100000</v>
      </c>
      <c r="M732" s="780">
        <v>100000</v>
      </c>
      <c r="N732" s="780">
        <v>0</v>
      </c>
    </row>
    <row r="733" spans="1:14" s="812" customFormat="1" ht="18" hidden="1" customHeight="1">
      <c r="A733" s="1286"/>
      <c r="B733" s="1287"/>
      <c r="C733" s="1260"/>
      <c r="D733" s="1261"/>
      <c r="E733" s="1288"/>
      <c r="F733" s="1289"/>
      <c r="G733" s="860" t="s">
        <v>22</v>
      </c>
      <c r="H733" s="779">
        <f t="shared" si="96"/>
        <v>0</v>
      </c>
      <c r="I733" s="780">
        <f t="shared" si="97"/>
        <v>0</v>
      </c>
      <c r="J733" s="780">
        <v>0</v>
      </c>
      <c r="K733" s="780">
        <v>0</v>
      </c>
      <c r="L733" s="780">
        <f t="shared" si="98"/>
        <v>0</v>
      </c>
      <c r="M733" s="780"/>
      <c r="N733" s="780">
        <v>0</v>
      </c>
    </row>
    <row r="734" spans="1:14" s="721" customFormat="1" ht="18" hidden="1" customHeight="1">
      <c r="A734" s="1301"/>
      <c r="B734" s="1302"/>
      <c r="C734" s="1303"/>
      <c r="D734" s="1304"/>
      <c r="E734" s="1290"/>
      <c r="F734" s="1291"/>
      <c r="G734" s="818" t="s">
        <v>23</v>
      </c>
      <c r="H734" s="779">
        <f t="shared" si="96"/>
        <v>100000</v>
      </c>
      <c r="I734" s="780">
        <f t="shared" si="97"/>
        <v>0</v>
      </c>
      <c r="J734" s="780">
        <f>J732+J733</f>
        <v>0</v>
      </c>
      <c r="K734" s="780">
        <f>K732+K733</f>
        <v>0</v>
      </c>
      <c r="L734" s="780">
        <f t="shared" si="98"/>
        <v>100000</v>
      </c>
      <c r="M734" s="780">
        <f>M732+M733</f>
        <v>100000</v>
      </c>
      <c r="N734" s="780">
        <f>N732+N733</f>
        <v>0</v>
      </c>
    </row>
    <row r="735" spans="1:14" s="721" customFormat="1" ht="18" hidden="1" customHeight="1">
      <c r="A735" s="1278" t="s">
        <v>341</v>
      </c>
      <c r="B735" s="1279"/>
      <c r="C735" s="1280" t="s">
        <v>343</v>
      </c>
      <c r="D735" s="1281"/>
      <c r="E735" s="1254" t="s">
        <v>1230</v>
      </c>
      <c r="F735" s="1255"/>
      <c r="G735" s="860" t="s">
        <v>21</v>
      </c>
      <c r="H735" s="808">
        <f t="shared" si="96"/>
        <v>2537550</v>
      </c>
      <c r="I735" s="809">
        <f t="shared" si="97"/>
        <v>0</v>
      </c>
      <c r="J735" s="809">
        <v>0</v>
      </c>
      <c r="K735" s="809">
        <v>0</v>
      </c>
      <c r="L735" s="809">
        <f t="shared" si="98"/>
        <v>2537550</v>
      </c>
      <c r="M735" s="809">
        <v>0</v>
      </c>
      <c r="N735" s="809">
        <v>2537550</v>
      </c>
    </row>
    <row r="736" spans="1:14" s="721" customFormat="1" ht="18" hidden="1" customHeight="1">
      <c r="A736" s="1282"/>
      <c r="B736" s="1283"/>
      <c r="C736" s="1284"/>
      <c r="D736" s="1285"/>
      <c r="E736" s="1288"/>
      <c r="F736" s="1289"/>
      <c r="G736" s="860" t="s">
        <v>22</v>
      </c>
      <c r="H736" s="808">
        <f t="shared" si="96"/>
        <v>0</v>
      </c>
      <c r="I736" s="809">
        <f t="shared" si="97"/>
        <v>0</v>
      </c>
      <c r="J736" s="809">
        <v>0</v>
      </c>
      <c r="K736" s="809">
        <v>0</v>
      </c>
      <c r="L736" s="809">
        <f t="shared" si="98"/>
        <v>0</v>
      </c>
      <c r="M736" s="809">
        <v>0</v>
      </c>
      <c r="N736" s="809">
        <v>0</v>
      </c>
    </row>
    <row r="737" spans="1:14" s="721" customFormat="1" ht="18" hidden="1" customHeight="1">
      <c r="A737" s="1282"/>
      <c r="B737" s="1283"/>
      <c r="C737" s="1284"/>
      <c r="D737" s="1285"/>
      <c r="E737" s="1290"/>
      <c r="F737" s="1291"/>
      <c r="G737" s="811" t="s">
        <v>23</v>
      </c>
      <c r="H737" s="808">
        <f t="shared" si="96"/>
        <v>2537550</v>
      </c>
      <c r="I737" s="809">
        <f t="shared" si="97"/>
        <v>0</v>
      </c>
      <c r="J737" s="809">
        <f>J735+J736</f>
        <v>0</v>
      </c>
      <c r="K737" s="809">
        <f>K735+K736</f>
        <v>0</v>
      </c>
      <c r="L737" s="809">
        <f t="shared" si="98"/>
        <v>2537550</v>
      </c>
      <c r="M737" s="809">
        <f>M735+M736</f>
        <v>0</v>
      </c>
      <c r="N737" s="809">
        <f>N735+N736</f>
        <v>2537550</v>
      </c>
    </row>
    <row r="738" spans="1:14" s="721" customFormat="1" ht="18" hidden="1" customHeight="1">
      <c r="A738" s="1282"/>
      <c r="B738" s="1283"/>
      <c r="C738" s="1284"/>
      <c r="D738" s="1285"/>
      <c r="E738" s="1254" t="s">
        <v>1231</v>
      </c>
      <c r="F738" s="1255"/>
      <c r="G738" s="860" t="s">
        <v>21</v>
      </c>
      <c r="H738" s="808">
        <f t="shared" si="96"/>
        <v>900000</v>
      </c>
      <c r="I738" s="809">
        <f t="shared" si="97"/>
        <v>0</v>
      </c>
      <c r="J738" s="809">
        <v>0</v>
      </c>
      <c r="K738" s="809">
        <v>0</v>
      </c>
      <c r="L738" s="809">
        <f t="shared" si="98"/>
        <v>900000</v>
      </c>
      <c r="M738" s="809">
        <v>0</v>
      </c>
      <c r="N738" s="809">
        <v>900000</v>
      </c>
    </row>
    <row r="739" spans="1:14" s="721" customFormat="1" ht="18" hidden="1" customHeight="1">
      <c r="A739" s="1282"/>
      <c r="B739" s="1283"/>
      <c r="C739" s="1284"/>
      <c r="D739" s="1285"/>
      <c r="E739" s="1288"/>
      <c r="F739" s="1289"/>
      <c r="G739" s="860" t="s">
        <v>22</v>
      </c>
      <c r="H739" s="808">
        <f t="shared" si="96"/>
        <v>0</v>
      </c>
      <c r="I739" s="809">
        <f t="shared" si="97"/>
        <v>0</v>
      </c>
      <c r="J739" s="809">
        <v>0</v>
      </c>
      <c r="K739" s="809">
        <v>0</v>
      </c>
      <c r="L739" s="809">
        <f t="shared" si="98"/>
        <v>0</v>
      </c>
      <c r="M739" s="809">
        <v>0</v>
      </c>
      <c r="N739" s="809">
        <v>0</v>
      </c>
    </row>
    <row r="740" spans="1:14" s="721" customFormat="1" ht="18" hidden="1" customHeight="1">
      <c r="A740" s="1282"/>
      <c r="B740" s="1283"/>
      <c r="C740" s="1284"/>
      <c r="D740" s="1285"/>
      <c r="E740" s="1290"/>
      <c r="F740" s="1291"/>
      <c r="G740" s="811" t="s">
        <v>23</v>
      </c>
      <c r="H740" s="808">
        <f t="shared" si="96"/>
        <v>900000</v>
      </c>
      <c r="I740" s="809">
        <f t="shared" si="97"/>
        <v>0</v>
      </c>
      <c r="J740" s="809">
        <f>J738+J739</f>
        <v>0</v>
      </c>
      <c r="K740" s="809">
        <f>K738+K739</f>
        <v>0</v>
      </c>
      <c r="L740" s="809">
        <f t="shared" si="98"/>
        <v>900000</v>
      </c>
      <c r="M740" s="809">
        <f>M738+M739</f>
        <v>0</v>
      </c>
      <c r="N740" s="809">
        <f>N738+N739</f>
        <v>900000</v>
      </c>
    </row>
    <row r="741" spans="1:14" s="812" customFormat="1" ht="18" hidden="1" customHeight="1">
      <c r="A741" s="1286"/>
      <c r="B741" s="1395"/>
      <c r="C741" s="1260"/>
      <c r="D741" s="1261"/>
      <c r="E741" s="1254" t="s">
        <v>1232</v>
      </c>
      <c r="F741" s="1255"/>
      <c r="G741" s="860" t="s">
        <v>21</v>
      </c>
      <c r="H741" s="808">
        <f t="shared" si="96"/>
        <v>2600000</v>
      </c>
      <c r="I741" s="809">
        <f t="shared" si="97"/>
        <v>2600000</v>
      </c>
      <c r="J741" s="809">
        <v>2600000</v>
      </c>
      <c r="K741" s="809">
        <v>0</v>
      </c>
      <c r="L741" s="809">
        <f t="shared" si="98"/>
        <v>0</v>
      </c>
      <c r="M741" s="809">
        <v>0</v>
      </c>
      <c r="N741" s="809">
        <v>0</v>
      </c>
    </row>
    <row r="742" spans="1:14" s="812" customFormat="1" ht="18" hidden="1" customHeight="1">
      <c r="A742" s="1286"/>
      <c r="B742" s="1287"/>
      <c r="C742" s="1260"/>
      <c r="D742" s="1261"/>
      <c r="E742" s="1288"/>
      <c r="F742" s="1289"/>
      <c r="G742" s="860" t="s">
        <v>22</v>
      </c>
      <c r="H742" s="808">
        <f t="shared" si="96"/>
        <v>0</v>
      </c>
      <c r="I742" s="809">
        <f t="shared" si="97"/>
        <v>0</v>
      </c>
      <c r="J742" s="809">
        <v>0</v>
      </c>
      <c r="K742" s="809">
        <v>0</v>
      </c>
      <c r="L742" s="809">
        <f t="shared" si="98"/>
        <v>0</v>
      </c>
      <c r="M742" s="809">
        <v>0</v>
      </c>
      <c r="N742" s="809">
        <v>0</v>
      </c>
    </row>
    <row r="743" spans="1:14" s="721" customFormat="1" ht="18" hidden="1" customHeight="1">
      <c r="A743" s="1282"/>
      <c r="B743" s="1283"/>
      <c r="C743" s="1284"/>
      <c r="D743" s="1285"/>
      <c r="E743" s="1290"/>
      <c r="F743" s="1291"/>
      <c r="G743" s="811" t="s">
        <v>23</v>
      </c>
      <c r="H743" s="808">
        <f t="shared" si="96"/>
        <v>2600000</v>
      </c>
      <c r="I743" s="809">
        <f t="shared" si="97"/>
        <v>2600000</v>
      </c>
      <c r="J743" s="809">
        <f>J741+J742</f>
        <v>2600000</v>
      </c>
      <c r="K743" s="809">
        <f>K741+K742</f>
        <v>0</v>
      </c>
      <c r="L743" s="809">
        <f t="shared" si="98"/>
        <v>0</v>
      </c>
      <c r="M743" s="809">
        <f>M741+M742</f>
        <v>0</v>
      </c>
      <c r="N743" s="809">
        <f>N741+N742</f>
        <v>0</v>
      </c>
    </row>
    <row r="744" spans="1:14" s="802" customFormat="1" ht="3.95" customHeight="1">
      <c r="A744" s="836"/>
      <c r="B744" s="837"/>
      <c r="C744" s="837"/>
      <c r="D744" s="837"/>
      <c r="E744" s="837"/>
      <c r="F744" s="837"/>
      <c r="G744" s="868"/>
      <c r="H744" s="869"/>
      <c r="I744" s="870"/>
      <c r="J744" s="870"/>
      <c r="K744" s="870"/>
      <c r="L744" s="870"/>
      <c r="M744" s="870"/>
      <c r="N744" s="871"/>
    </row>
    <row r="745" spans="1:14" s="873" customFormat="1" ht="18" customHeight="1">
      <c r="A745" s="1386" t="s">
        <v>20</v>
      </c>
      <c r="B745" s="1387"/>
      <c r="C745" s="1387"/>
      <c r="D745" s="1387"/>
      <c r="E745" s="1387"/>
      <c r="F745" s="1388"/>
      <c r="G745" s="872" t="s">
        <v>21</v>
      </c>
      <c r="H745" s="752">
        <f t="shared" ref="H745:N747" si="99">H11</f>
        <v>582195954</v>
      </c>
      <c r="I745" s="751">
        <f t="shared" si="99"/>
        <v>365421308</v>
      </c>
      <c r="J745" s="751">
        <f t="shared" si="99"/>
        <v>167787812</v>
      </c>
      <c r="K745" s="751">
        <f t="shared" si="99"/>
        <v>197633496</v>
      </c>
      <c r="L745" s="751">
        <f t="shared" si="99"/>
        <v>216774646</v>
      </c>
      <c r="M745" s="751">
        <f t="shared" si="99"/>
        <v>17775000</v>
      </c>
      <c r="N745" s="751">
        <f t="shared" si="99"/>
        <v>198999646</v>
      </c>
    </row>
    <row r="746" spans="1:14" s="873" customFormat="1" ht="18" customHeight="1">
      <c r="A746" s="1389"/>
      <c r="B746" s="1390"/>
      <c r="C746" s="1390"/>
      <c r="D746" s="1390"/>
      <c r="E746" s="1390"/>
      <c r="F746" s="1391"/>
      <c r="G746" s="874" t="s">
        <v>22</v>
      </c>
      <c r="H746" s="752">
        <f t="shared" si="99"/>
        <v>-68604178</v>
      </c>
      <c r="I746" s="751">
        <f t="shared" si="99"/>
        <v>-57657170</v>
      </c>
      <c r="J746" s="751">
        <f t="shared" si="99"/>
        <v>-49254678</v>
      </c>
      <c r="K746" s="751">
        <f t="shared" si="99"/>
        <v>-8402492</v>
      </c>
      <c r="L746" s="751">
        <f t="shared" si="99"/>
        <v>-10947008</v>
      </c>
      <c r="M746" s="751">
        <f t="shared" si="99"/>
        <v>-13856262</v>
      </c>
      <c r="N746" s="751">
        <f t="shared" si="99"/>
        <v>2909254</v>
      </c>
    </row>
    <row r="747" spans="1:14" s="873" customFormat="1" ht="18" customHeight="1">
      <c r="A747" s="1392"/>
      <c r="B747" s="1393"/>
      <c r="C747" s="1393"/>
      <c r="D747" s="1393"/>
      <c r="E747" s="1393"/>
      <c r="F747" s="1394"/>
      <c r="G747" s="874" t="s">
        <v>23</v>
      </c>
      <c r="H747" s="752">
        <f t="shared" si="99"/>
        <v>513591776</v>
      </c>
      <c r="I747" s="751">
        <f t="shared" si="99"/>
        <v>307764138</v>
      </c>
      <c r="J747" s="751">
        <f t="shared" si="99"/>
        <v>118533134</v>
      </c>
      <c r="K747" s="751">
        <f t="shared" si="99"/>
        <v>189231004</v>
      </c>
      <c r="L747" s="751">
        <f t="shared" si="99"/>
        <v>205827638</v>
      </c>
      <c r="M747" s="751">
        <f t="shared" si="99"/>
        <v>3918738</v>
      </c>
      <c r="N747" s="751">
        <f t="shared" si="99"/>
        <v>201908900</v>
      </c>
    </row>
    <row r="748" spans="1:14" s="721" customFormat="1" ht="2.25" customHeight="1">
      <c r="A748" s="875"/>
      <c r="B748" s="875"/>
      <c r="C748" s="875"/>
      <c r="D748" s="875"/>
      <c r="E748" s="876"/>
      <c r="F748" s="877"/>
      <c r="G748" s="878"/>
      <c r="H748" s="879"/>
      <c r="I748" s="880"/>
      <c r="J748" s="880"/>
      <c r="K748" s="880"/>
      <c r="L748" s="880"/>
      <c r="M748" s="880"/>
      <c r="N748" s="880"/>
    </row>
    <row r="749" spans="1:14" s="884" customFormat="1" ht="12" customHeight="1">
      <c r="A749" s="881" t="s">
        <v>1233</v>
      </c>
      <c r="B749" s="882"/>
      <c r="C749" s="883"/>
      <c r="D749" s="882"/>
      <c r="E749" s="883"/>
      <c r="G749" s="885"/>
      <c r="H749" s="886"/>
      <c r="I749" s="887"/>
      <c r="J749" s="887"/>
      <c r="K749" s="887"/>
      <c r="L749" s="887"/>
      <c r="M749" s="887"/>
      <c r="N749" s="887"/>
    </row>
    <row r="750" spans="1:14" s="884" customFormat="1" ht="13.5" customHeight="1">
      <c r="A750" s="888" t="s">
        <v>1234</v>
      </c>
      <c r="B750" s="889"/>
      <c r="C750" s="890"/>
      <c r="D750" s="889"/>
      <c r="E750" s="890"/>
      <c r="G750" s="885"/>
      <c r="H750" s="886"/>
      <c r="I750" s="887"/>
      <c r="J750" s="887"/>
      <c r="K750" s="887"/>
      <c r="L750" s="887"/>
      <c r="M750" s="887"/>
      <c r="N750" s="887"/>
    </row>
    <row r="751" spans="1:14" s="884" customFormat="1" ht="10.5" customHeight="1">
      <c r="A751" s="891" t="s">
        <v>1235</v>
      </c>
      <c r="B751" s="891" t="s">
        <v>1236</v>
      </c>
      <c r="C751" s="892" t="s">
        <v>1237</v>
      </c>
      <c r="D751" s="891"/>
      <c r="E751" s="893"/>
      <c r="G751" s="885"/>
      <c r="H751" s="886"/>
      <c r="I751" s="887"/>
      <c r="J751" s="887"/>
      <c r="K751" s="887"/>
      <c r="L751" s="887"/>
      <c r="M751" s="887"/>
      <c r="N751" s="887"/>
    </row>
    <row r="752" spans="1:14" s="884" customFormat="1" ht="10.5" customHeight="1">
      <c r="A752" s="891" t="s">
        <v>22</v>
      </c>
      <c r="B752" s="891" t="s">
        <v>1236</v>
      </c>
      <c r="C752" s="892" t="s">
        <v>1238</v>
      </c>
      <c r="D752" s="891"/>
      <c r="E752" s="893"/>
      <c r="G752" s="885"/>
      <c r="H752" s="886"/>
      <c r="I752" s="887"/>
      <c r="J752" s="887"/>
      <c r="K752" s="887"/>
      <c r="L752" s="887"/>
      <c r="M752" s="887"/>
      <c r="N752" s="887"/>
    </row>
    <row r="753" spans="1:14" s="884" customFormat="1" ht="10.5" customHeight="1">
      <c r="A753" s="891" t="s">
        <v>23</v>
      </c>
      <c r="B753" s="891" t="s">
        <v>1236</v>
      </c>
      <c r="C753" s="892" t="s">
        <v>1239</v>
      </c>
      <c r="D753" s="891"/>
      <c r="E753" s="893"/>
      <c r="G753" s="885"/>
      <c r="H753" s="886"/>
      <c r="I753" s="887"/>
      <c r="J753" s="887"/>
      <c r="K753" s="887"/>
      <c r="L753" s="887"/>
      <c r="M753" s="887"/>
      <c r="N753" s="887"/>
    </row>
  </sheetData>
  <sheetProtection password="C25B" sheet="1"/>
  <mergeCells count="1531">
    <mergeCell ref="A745:F747"/>
    <mergeCell ref="A741:B741"/>
    <mergeCell ref="C741:D741"/>
    <mergeCell ref="E741:F743"/>
    <mergeCell ref="A742:B742"/>
    <mergeCell ref="C742:D742"/>
    <mergeCell ref="A743:B743"/>
    <mergeCell ref="C743:D743"/>
    <mergeCell ref="A738:B738"/>
    <mergeCell ref="C738:D738"/>
    <mergeCell ref="E738:F740"/>
    <mergeCell ref="A739:B739"/>
    <mergeCell ref="C739:D739"/>
    <mergeCell ref="A740:B740"/>
    <mergeCell ref="C740:D740"/>
    <mergeCell ref="A735:B735"/>
    <mergeCell ref="C735:D735"/>
    <mergeCell ref="E735:F737"/>
    <mergeCell ref="A736:B736"/>
    <mergeCell ref="C736:D736"/>
    <mergeCell ref="A737:B737"/>
    <mergeCell ref="C737:D737"/>
    <mergeCell ref="A732:B732"/>
    <mergeCell ref="C732:D732"/>
    <mergeCell ref="E732:F734"/>
    <mergeCell ref="A733:B733"/>
    <mergeCell ref="C733:D733"/>
    <mergeCell ref="A734:B734"/>
    <mergeCell ref="C734:D734"/>
    <mergeCell ref="A729:B729"/>
    <mergeCell ref="C729:D729"/>
    <mergeCell ref="E729:F731"/>
    <mergeCell ref="A730:B730"/>
    <mergeCell ref="C730:D730"/>
    <mergeCell ref="A731:B731"/>
    <mergeCell ref="C731:D731"/>
    <mergeCell ref="A726:B726"/>
    <mergeCell ref="C726:D726"/>
    <mergeCell ref="E726:F728"/>
    <mergeCell ref="A727:B727"/>
    <mergeCell ref="C727:D727"/>
    <mergeCell ref="A728:B728"/>
    <mergeCell ref="C728:D728"/>
    <mergeCell ref="A723:B723"/>
    <mergeCell ref="C723:D723"/>
    <mergeCell ref="E723:F725"/>
    <mergeCell ref="A724:B724"/>
    <mergeCell ref="C724:D724"/>
    <mergeCell ref="A725:B725"/>
    <mergeCell ref="C725:D725"/>
    <mergeCell ref="A720:B720"/>
    <mergeCell ref="C720:D720"/>
    <mergeCell ref="E720:F722"/>
    <mergeCell ref="A721:B721"/>
    <mergeCell ref="C721:D721"/>
    <mergeCell ref="A722:B722"/>
    <mergeCell ref="C722:D722"/>
    <mergeCell ref="A717:B717"/>
    <mergeCell ref="C717:D717"/>
    <mergeCell ref="E717:F719"/>
    <mergeCell ref="A718:B718"/>
    <mergeCell ref="C718:D718"/>
    <mergeCell ref="A719:B719"/>
    <mergeCell ref="C719:D719"/>
    <mergeCell ref="A714:B714"/>
    <mergeCell ref="C714:D714"/>
    <mergeCell ref="E714:F716"/>
    <mergeCell ref="A715:B715"/>
    <mergeCell ref="C715:D715"/>
    <mergeCell ref="A716:B716"/>
    <mergeCell ref="C716:D716"/>
    <mergeCell ref="A711:B711"/>
    <mergeCell ref="C711:D711"/>
    <mergeCell ref="E711:F713"/>
    <mergeCell ref="A712:B712"/>
    <mergeCell ref="C712:D712"/>
    <mergeCell ref="A713:B713"/>
    <mergeCell ref="C713:D713"/>
    <mergeCell ref="A708:B708"/>
    <mergeCell ref="C708:D708"/>
    <mergeCell ref="E708:F710"/>
    <mergeCell ref="A709:B709"/>
    <mergeCell ref="C709:D709"/>
    <mergeCell ref="A710:B710"/>
    <mergeCell ref="C710:D710"/>
    <mergeCell ref="A705:B705"/>
    <mergeCell ref="C705:D705"/>
    <mergeCell ref="E705:F707"/>
    <mergeCell ref="A706:B706"/>
    <mergeCell ref="C706:D706"/>
    <mergeCell ref="A707:B707"/>
    <mergeCell ref="C707:D707"/>
    <mergeCell ref="A702:B702"/>
    <mergeCell ref="C702:D702"/>
    <mergeCell ref="E702:F704"/>
    <mergeCell ref="A703:B703"/>
    <mergeCell ref="C703:D703"/>
    <mergeCell ref="A704:B704"/>
    <mergeCell ref="C704:D704"/>
    <mergeCell ref="A699:B699"/>
    <mergeCell ref="C699:D699"/>
    <mergeCell ref="E699:F701"/>
    <mergeCell ref="A700:B700"/>
    <mergeCell ref="C700:D700"/>
    <mergeCell ref="A701:B701"/>
    <mergeCell ref="C701:D701"/>
    <mergeCell ref="A696:B696"/>
    <mergeCell ref="C696:D696"/>
    <mergeCell ref="E696:F698"/>
    <mergeCell ref="A697:B697"/>
    <mergeCell ref="C697:D697"/>
    <mergeCell ref="A698:B698"/>
    <mergeCell ref="C698:D698"/>
    <mergeCell ref="A693:B693"/>
    <mergeCell ref="C693:D693"/>
    <mergeCell ref="E693:F695"/>
    <mergeCell ref="A694:B694"/>
    <mergeCell ref="C694:D694"/>
    <mergeCell ref="A695:B695"/>
    <mergeCell ref="C695:D695"/>
    <mergeCell ref="A690:B690"/>
    <mergeCell ref="C690:D690"/>
    <mergeCell ref="E690:F692"/>
    <mergeCell ref="A691:B691"/>
    <mergeCell ref="C691:D691"/>
    <mergeCell ref="A692:B692"/>
    <mergeCell ref="C692:D692"/>
    <mergeCell ref="A687:B687"/>
    <mergeCell ref="C687:D687"/>
    <mergeCell ref="E687:F689"/>
    <mergeCell ref="A688:B688"/>
    <mergeCell ref="C688:D688"/>
    <mergeCell ref="A689:B689"/>
    <mergeCell ref="C689:D689"/>
    <mergeCell ref="A684:B684"/>
    <mergeCell ref="C684:D684"/>
    <mergeCell ref="E684:F686"/>
    <mergeCell ref="A685:B685"/>
    <mergeCell ref="C685:D685"/>
    <mergeCell ref="A686:B686"/>
    <mergeCell ref="C686:D686"/>
    <mergeCell ref="A681:B681"/>
    <mergeCell ref="C681:D681"/>
    <mergeCell ref="E681:F683"/>
    <mergeCell ref="A682:B682"/>
    <mergeCell ref="C682:D682"/>
    <mergeCell ref="A683:B683"/>
    <mergeCell ref="C683:D683"/>
    <mergeCell ref="A678:B678"/>
    <mergeCell ref="C678:D678"/>
    <mergeCell ref="E678:F680"/>
    <mergeCell ref="A679:B679"/>
    <mergeCell ref="C679:D679"/>
    <mergeCell ref="A680:B680"/>
    <mergeCell ref="C680:D680"/>
    <mergeCell ref="A675:B675"/>
    <mergeCell ref="C675:D675"/>
    <mergeCell ref="E675:F677"/>
    <mergeCell ref="A676:B676"/>
    <mergeCell ref="C676:D676"/>
    <mergeCell ref="A677:B677"/>
    <mergeCell ref="C677:D677"/>
    <mergeCell ref="A672:B672"/>
    <mergeCell ref="C672:D672"/>
    <mergeCell ref="E672:F674"/>
    <mergeCell ref="A673:B673"/>
    <mergeCell ref="C673:D673"/>
    <mergeCell ref="A674:B674"/>
    <mergeCell ref="C674:D674"/>
    <mergeCell ref="A669:B669"/>
    <mergeCell ref="C669:D669"/>
    <mergeCell ref="E669:F671"/>
    <mergeCell ref="A670:B670"/>
    <mergeCell ref="C670:D670"/>
    <mergeCell ref="A671:B671"/>
    <mergeCell ref="C671:D671"/>
    <mergeCell ref="A666:B666"/>
    <mergeCell ref="C666:D666"/>
    <mergeCell ref="E666:F668"/>
    <mergeCell ref="A667:B667"/>
    <mergeCell ref="C667:D667"/>
    <mergeCell ref="A668:B668"/>
    <mergeCell ref="C668:D668"/>
    <mergeCell ref="A663:B663"/>
    <mergeCell ref="C663:D663"/>
    <mergeCell ref="E663:F665"/>
    <mergeCell ref="A664:B664"/>
    <mergeCell ref="C664:D664"/>
    <mergeCell ref="A665:B665"/>
    <mergeCell ref="C665:D665"/>
    <mergeCell ref="A660:B660"/>
    <mergeCell ref="C660:D660"/>
    <mergeCell ref="E660:F662"/>
    <mergeCell ref="A661:B661"/>
    <mergeCell ref="C661:D661"/>
    <mergeCell ref="A662:B662"/>
    <mergeCell ref="C662:D662"/>
    <mergeCell ref="A657:B657"/>
    <mergeCell ref="C657:D657"/>
    <mergeCell ref="E657:F659"/>
    <mergeCell ref="A658:B658"/>
    <mergeCell ref="C658:D658"/>
    <mergeCell ref="A659:B659"/>
    <mergeCell ref="C659:D659"/>
    <mergeCell ref="A654:B654"/>
    <mergeCell ref="C654:D654"/>
    <mergeCell ref="E654:F656"/>
    <mergeCell ref="A655:B655"/>
    <mergeCell ref="C655:D655"/>
    <mergeCell ref="A656:B656"/>
    <mergeCell ref="C656:D656"/>
    <mergeCell ref="A651:B651"/>
    <mergeCell ref="C651:D651"/>
    <mergeCell ref="E651:F653"/>
    <mergeCell ref="A652:B652"/>
    <mergeCell ref="C652:D652"/>
    <mergeCell ref="A653:B653"/>
    <mergeCell ref="C653:D653"/>
    <mergeCell ref="A648:B648"/>
    <mergeCell ref="C648:D648"/>
    <mergeCell ref="E648:F650"/>
    <mergeCell ref="A649:B649"/>
    <mergeCell ref="C649:D649"/>
    <mergeCell ref="A650:B650"/>
    <mergeCell ref="C650:D650"/>
    <mergeCell ref="A645:B645"/>
    <mergeCell ref="C645:D645"/>
    <mergeCell ref="E645:F647"/>
    <mergeCell ref="A646:B646"/>
    <mergeCell ref="C646:D646"/>
    <mergeCell ref="A647:B647"/>
    <mergeCell ref="C647:D647"/>
    <mergeCell ref="A642:B642"/>
    <mergeCell ref="C642:D642"/>
    <mergeCell ref="E642:F644"/>
    <mergeCell ref="A643:B643"/>
    <mergeCell ref="C643:D643"/>
    <mergeCell ref="A644:B644"/>
    <mergeCell ref="C644:D644"/>
    <mergeCell ref="A639:B639"/>
    <mergeCell ref="C639:D639"/>
    <mergeCell ref="E639:F641"/>
    <mergeCell ref="A640:B640"/>
    <mergeCell ref="C640:D640"/>
    <mergeCell ref="A641:B641"/>
    <mergeCell ref="C641:D641"/>
    <mergeCell ref="A636:B636"/>
    <mergeCell ref="C636:D636"/>
    <mergeCell ref="E636:F638"/>
    <mergeCell ref="A637:B637"/>
    <mergeCell ref="C637:D637"/>
    <mergeCell ref="A638:B638"/>
    <mergeCell ref="C638:D638"/>
    <mergeCell ref="A633:B633"/>
    <mergeCell ref="C633:D633"/>
    <mergeCell ref="E633:F635"/>
    <mergeCell ref="A634:B634"/>
    <mergeCell ref="C634:D634"/>
    <mergeCell ref="A635:B635"/>
    <mergeCell ref="C635:D635"/>
    <mergeCell ref="A630:B630"/>
    <mergeCell ref="C630:D630"/>
    <mergeCell ref="E630:F632"/>
    <mergeCell ref="A631:B631"/>
    <mergeCell ref="C631:D631"/>
    <mergeCell ref="A632:B632"/>
    <mergeCell ref="C632:D632"/>
    <mergeCell ref="A627:B627"/>
    <mergeCell ref="C627:D627"/>
    <mergeCell ref="E627:F629"/>
    <mergeCell ref="A628:B628"/>
    <mergeCell ref="C628:D628"/>
    <mergeCell ref="A629:B629"/>
    <mergeCell ref="C629:D629"/>
    <mergeCell ref="A624:B624"/>
    <mergeCell ref="C624:D624"/>
    <mergeCell ref="E624:F626"/>
    <mergeCell ref="A625:B625"/>
    <mergeCell ref="C625:D625"/>
    <mergeCell ref="A626:B626"/>
    <mergeCell ref="C626:D626"/>
    <mergeCell ref="A621:B621"/>
    <mergeCell ref="C621:D621"/>
    <mergeCell ref="E621:F623"/>
    <mergeCell ref="A622:B622"/>
    <mergeCell ref="C622:D622"/>
    <mergeCell ref="A623:B623"/>
    <mergeCell ref="C623:D623"/>
    <mergeCell ref="A618:B618"/>
    <mergeCell ref="C618:D618"/>
    <mergeCell ref="E618:F620"/>
    <mergeCell ref="A619:B619"/>
    <mergeCell ref="C619:D619"/>
    <mergeCell ref="A620:B620"/>
    <mergeCell ref="C620:D620"/>
    <mergeCell ref="A615:B615"/>
    <mergeCell ref="C615:D615"/>
    <mergeCell ref="E615:F617"/>
    <mergeCell ref="A616:B616"/>
    <mergeCell ref="C616:D616"/>
    <mergeCell ref="A617:B617"/>
    <mergeCell ref="C617:D617"/>
    <mergeCell ref="A612:B612"/>
    <mergeCell ref="C612:D612"/>
    <mergeCell ref="E612:F614"/>
    <mergeCell ref="A613:B613"/>
    <mergeCell ref="C613:D613"/>
    <mergeCell ref="A614:B614"/>
    <mergeCell ref="C614:D614"/>
    <mergeCell ref="A609:B609"/>
    <mergeCell ref="C609:D609"/>
    <mergeCell ref="E609:F611"/>
    <mergeCell ref="A610:B610"/>
    <mergeCell ref="C610:D610"/>
    <mergeCell ref="A611:B611"/>
    <mergeCell ref="C611:D611"/>
    <mergeCell ref="A606:B606"/>
    <mergeCell ref="C606:D606"/>
    <mergeCell ref="E606:F608"/>
    <mergeCell ref="A607:B607"/>
    <mergeCell ref="C607:D607"/>
    <mergeCell ref="A608:B608"/>
    <mergeCell ref="C608:D608"/>
    <mergeCell ref="A603:B603"/>
    <mergeCell ref="C603:D603"/>
    <mergeCell ref="E603:F605"/>
    <mergeCell ref="A604:B604"/>
    <mergeCell ref="C604:D604"/>
    <mergeCell ref="A605:B605"/>
    <mergeCell ref="C605:D605"/>
    <mergeCell ref="A600:B600"/>
    <mergeCell ref="C600:D600"/>
    <mergeCell ref="E600:F602"/>
    <mergeCell ref="A601:B601"/>
    <mergeCell ref="C601:D601"/>
    <mergeCell ref="A602:B602"/>
    <mergeCell ref="C602:D602"/>
    <mergeCell ref="A597:B597"/>
    <mergeCell ref="C597:D597"/>
    <mergeCell ref="E597:F599"/>
    <mergeCell ref="A598:B598"/>
    <mergeCell ref="C598:D598"/>
    <mergeCell ref="A599:B599"/>
    <mergeCell ref="C599:D599"/>
    <mergeCell ref="A594:B594"/>
    <mergeCell ref="C594:D594"/>
    <mergeCell ref="E594:F596"/>
    <mergeCell ref="A595:B595"/>
    <mergeCell ref="C595:D595"/>
    <mergeCell ref="A596:B596"/>
    <mergeCell ref="C596:D596"/>
    <mergeCell ref="A591:B591"/>
    <mergeCell ref="C591:D591"/>
    <mergeCell ref="E591:F593"/>
    <mergeCell ref="A592:B592"/>
    <mergeCell ref="C592:D592"/>
    <mergeCell ref="A593:B593"/>
    <mergeCell ref="C593:D593"/>
    <mergeCell ref="A588:B588"/>
    <mergeCell ref="C588:D588"/>
    <mergeCell ref="E588:F590"/>
    <mergeCell ref="A589:B589"/>
    <mergeCell ref="C589:D589"/>
    <mergeCell ref="A590:B590"/>
    <mergeCell ref="C590:D590"/>
    <mergeCell ref="A585:B585"/>
    <mergeCell ref="C585:D585"/>
    <mergeCell ref="E585:F587"/>
    <mergeCell ref="A586:B586"/>
    <mergeCell ref="C586:D586"/>
    <mergeCell ref="A587:B587"/>
    <mergeCell ref="C587:D587"/>
    <mergeCell ref="A582:B582"/>
    <mergeCell ref="C582:D582"/>
    <mergeCell ref="E582:F584"/>
    <mergeCell ref="A583:B583"/>
    <mergeCell ref="C583:D583"/>
    <mergeCell ref="A584:B584"/>
    <mergeCell ref="C584:D584"/>
    <mergeCell ref="A579:B579"/>
    <mergeCell ref="C579:D579"/>
    <mergeCell ref="E579:F581"/>
    <mergeCell ref="A580:B580"/>
    <mergeCell ref="C580:D580"/>
    <mergeCell ref="A581:B581"/>
    <mergeCell ref="C581:D581"/>
    <mergeCell ref="A576:B576"/>
    <mergeCell ref="C576:D576"/>
    <mergeCell ref="E576:F578"/>
    <mergeCell ref="A577:B577"/>
    <mergeCell ref="C577:D577"/>
    <mergeCell ref="A578:B578"/>
    <mergeCell ref="C578:D578"/>
    <mergeCell ref="A573:B573"/>
    <mergeCell ref="C573:D573"/>
    <mergeCell ref="E573:F575"/>
    <mergeCell ref="A574:B574"/>
    <mergeCell ref="C574:D574"/>
    <mergeCell ref="A575:B575"/>
    <mergeCell ref="C575:D575"/>
    <mergeCell ref="A570:B570"/>
    <mergeCell ref="C570:D570"/>
    <mergeCell ref="E570:F572"/>
    <mergeCell ref="A571:B571"/>
    <mergeCell ref="C571:D571"/>
    <mergeCell ref="A572:B572"/>
    <mergeCell ref="C572:D572"/>
    <mergeCell ref="A567:B567"/>
    <mergeCell ref="C567:D567"/>
    <mergeCell ref="E567:F569"/>
    <mergeCell ref="A568:B568"/>
    <mergeCell ref="C568:D568"/>
    <mergeCell ref="A569:B569"/>
    <mergeCell ref="C569:D569"/>
    <mergeCell ref="A564:B564"/>
    <mergeCell ref="C564:D564"/>
    <mergeCell ref="E564:F566"/>
    <mergeCell ref="A565:B565"/>
    <mergeCell ref="C565:D565"/>
    <mergeCell ref="A566:B566"/>
    <mergeCell ref="C566:D566"/>
    <mergeCell ref="A561:B561"/>
    <mergeCell ref="C561:D561"/>
    <mergeCell ref="E561:F563"/>
    <mergeCell ref="A562:B562"/>
    <mergeCell ref="C562:D562"/>
    <mergeCell ref="A563:B563"/>
    <mergeCell ref="C563:D563"/>
    <mergeCell ref="A558:B558"/>
    <mergeCell ref="C558:D558"/>
    <mergeCell ref="E558:F560"/>
    <mergeCell ref="A559:B559"/>
    <mergeCell ref="C559:D559"/>
    <mergeCell ref="A560:B560"/>
    <mergeCell ref="C560:D560"/>
    <mergeCell ref="A555:B555"/>
    <mergeCell ref="C555:D555"/>
    <mergeCell ref="E555:F557"/>
    <mergeCell ref="A556:B556"/>
    <mergeCell ref="C556:D556"/>
    <mergeCell ref="A557:B557"/>
    <mergeCell ref="C557:D557"/>
    <mergeCell ref="A552:B552"/>
    <mergeCell ref="C552:D552"/>
    <mergeCell ref="E552:F554"/>
    <mergeCell ref="A553:B553"/>
    <mergeCell ref="C553:D553"/>
    <mergeCell ref="A554:B554"/>
    <mergeCell ref="C554:D554"/>
    <mergeCell ref="A549:B549"/>
    <mergeCell ref="C549:D549"/>
    <mergeCell ref="E549:F551"/>
    <mergeCell ref="A550:B550"/>
    <mergeCell ref="C550:D550"/>
    <mergeCell ref="A551:B551"/>
    <mergeCell ref="C551:D551"/>
    <mergeCell ref="A546:B546"/>
    <mergeCell ref="C546:D546"/>
    <mergeCell ref="E546:F548"/>
    <mergeCell ref="A547:B547"/>
    <mergeCell ref="C547:D547"/>
    <mergeCell ref="A548:B548"/>
    <mergeCell ref="C548:D548"/>
    <mergeCell ref="A543:B543"/>
    <mergeCell ref="C543:D543"/>
    <mergeCell ref="E543:F545"/>
    <mergeCell ref="A544:B544"/>
    <mergeCell ref="C544:D544"/>
    <mergeCell ref="A545:B545"/>
    <mergeCell ref="C545:D545"/>
    <mergeCell ref="A540:B540"/>
    <mergeCell ref="C540:D540"/>
    <mergeCell ref="E540:F542"/>
    <mergeCell ref="A541:B541"/>
    <mergeCell ref="C541:D541"/>
    <mergeCell ref="A542:B542"/>
    <mergeCell ref="C542:D542"/>
    <mergeCell ref="A537:B537"/>
    <mergeCell ref="C537:D537"/>
    <mergeCell ref="E537:F539"/>
    <mergeCell ref="A538:B538"/>
    <mergeCell ref="C538:D538"/>
    <mergeCell ref="A539:B539"/>
    <mergeCell ref="C539:D539"/>
    <mergeCell ref="A534:B534"/>
    <mergeCell ref="C534:D534"/>
    <mergeCell ref="E534:F536"/>
    <mergeCell ref="A535:B535"/>
    <mergeCell ref="C535:D535"/>
    <mergeCell ref="A536:B536"/>
    <mergeCell ref="C536:D536"/>
    <mergeCell ref="A531:B531"/>
    <mergeCell ref="C531:D531"/>
    <mergeCell ref="E531:F533"/>
    <mergeCell ref="A532:B532"/>
    <mergeCell ref="C532:D532"/>
    <mergeCell ref="A533:B533"/>
    <mergeCell ref="C533:D533"/>
    <mergeCell ref="A528:B528"/>
    <mergeCell ref="C528:D528"/>
    <mergeCell ref="E528:F530"/>
    <mergeCell ref="A529:B529"/>
    <mergeCell ref="C529:D529"/>
    <mergeCell ref="A530:B530"/>
    <mergeCell ref="C530:D530"/>
    <mergeCell ref="A525:B525"/>
    <mergeCell ref="C525:D525"/>
    <mergeCell ref="E525:F527"/>
    <mergeCell ref="A526:B526"/>
    <mergeCell ref="C526:D526"/>
    <mergeCell ref="A527:B527"/>
    <mergeCell ref="C527:D527"/>
    <mergeCell ref="A522:B522"/>
    <mergeCell ref="C522:D522"/>
    <mergeCell ref="E522:F524"/>
    <mergeCell ref="A523:B523"/>
    <mergeCell ref="C523:D523"/>
    <mergeCell ref="A524:B524"/>
    <mergeCell ref="C524:D524"/>
    <mergeCell ref="A519:B519"/>
    <mergeCell ref="C519:D519"/>
    <mergeCell ref="E519:F521"/>
    <mergeCell ref="A520:B520"/>
    <mergeCell ref="C520:D520"/>
    <mergeCell ref="A521:B521"/>
    <mergeCell ref="C521:D521"/>
    <mergeCell ref="A516:B516"/>
    <mergeCell ref="C516:D516"/>
    <mergeCell ref="E516:F518"/>
    <mergeCell ref="A517:B517"/>
    <mergeCell ref="C517:D517"/>
    <mergeCell ref="A518:B518"/>
    <mergeCell ref="C518:D518"/>
    <mergeCell ref="A513:B513"/>
    <mergeCell ref="C513:D513"/>
    <mergeCell ref="E513:F515"/>
    <mergeCell ref="A514:B514"/>
    <mergeCell ref="C514:D514"/>
    <mergeCell ref="A515:B515"/>
    <mergeCell ref="C515:D515"/>
    <mergeCell ref="A510:B510"/>
    <mergeCell ref="C510:D510"/>
    <mergeCell ref="E510:F512"/>
    <mergeCell ref="A511:B511"/>
    <mergeCell ref="C511:D511"/>
    <mergeCell ref="A512:B512"/>
    <mergeCell ref="C512:D512"/>
    <mergeCell ref="A507:B507"/>
    <mergeCell ref="C507:D507"/>
    <mergeCell ref="E507:F509"/>
    <mergeCell ref="A508:B508"/>
    <mergeCell ref="C508:D508"/>
    <mergeCell ref="A509:B509"/>
    <mergeCell ref="C509:D509"/>
    <mergeCell ref="A504:B504"/>
    <mergeCell ref="C504:D504"/>
    <mergeCell ref="E504:F506"/>
    <mergeCell ref="A505:B505"/>
    <mergeCell ref="C505:D505"/>
    <mergeCell ref="A506:B506"/>
    <mergeCell ref="C506:D506"/>
    <mergeCell ref="A501:B501"/>
    <mergeCell ref="C501:D501"/>
    <mergeCell ref="E501:F503"/>
    <mergeCell ref="A502:B502"/>
    <mergeCell ref="C502:D502"/>
    <mergeCell ref="A503:B503"/>
    <mergeCell ref="C503:D503"/>
    <mergeCell ref="A498:B498"/>
    <mergeCell ref="C498:D498"/>
    <mergeCell ref="E498:F500"/>
    <mergeCell ref="A499:B499"/>
    <mergeCell ref="C499:D499"/>
    <mergeCell ref="A500:B500"/>
    <mergeCell ref="C500:D500"/>
    <mergeCell ref="A495:B495"/>
    <mergeCell ref="C495:D495"/>
    <mergeCell ref="E495:F497"/>
    <mergeCell ref="A496:B496"/>
    <mergeCell ref="C496:D496"/>
    <mergeCell ref="A497:B497"/>
    <mergeCell ref="C497:D497"/>
    <mergeCell ref="A492:B492"/>
    <mergeCell ref="C492:D492"/>
    <mergeCell ref="E492:F494"/>
    <mergeCell ref="A493:B493"/>
    <mergeCell ref="C493:D493"/>
    <mergeCell ref="A494:B494"/>
    <mergeCell ref="C494:D494"/>
    <mergeCell ref="A489:B489"/>
    <mergeCell ref="C489:D489"/>
    <mergeCell ref="E489:F491"/>
    <mergeCell ref="A490:B490"/>
    <mergeCell ref="C490:D490"/>
    <mergeCell ref="A491:B491"/>
    <mergeCell ref="C491:D491"/>
    <mergeCell ref="A486:B486"/>
    <mergeCell ref="C486:D486"/>
    <mergeCell ref="E486:F488"/>
    <mergeCell ref="A487:B487"/>
    <mergeCell ref="C487:D487"/>
    <mergeCell ref="A488:B488"/>
    <mergeCell ref="C488:D488"/>
    <mergeCell ref="A483:B483"/>
    <mergeCell ref="C483:D483"/>
    <mergeCell ref="E483:F485"/>
    <mergeCell ref="A484:B484"/>
    <mergeCell ref="C484:D484"/>
    <mergeCell ref="A485:B485"/>
    <mergeCell ref="C485:D485"/>
    <mergeCell ref="A480:B480"/>
    <mergeCell ref="C480:D480"/>
    <mergeCell ref="E480:F482"/>
    <mergeCell ref="A481:B481"/>
    <mergeCell ref="C481:D481"/>
    <mergeCell ref="A482:B482"/>
    <mergeCell ref="C482:D482"/>
    <mergeCell ref="A477:B477"/>
    <mergeCell ref="C477:D477"/>
    <mergeCell ref="E477:F479"/>
    <mergeCell ref="A478:B478"/>
    <mergeCell ref="C478:D478"/>
    <mergeCell ref="A479:B479"/>
    <mergeCell ref="C479:D479"/>
    <mergeCell ref="A474:B474"/>
    <mergeCell ref="C474:D474"/>
    <mergeCell ref="E474:F476"/>
    <mergeCell ref="A475:B475"/>
    <mergeCell ref="C475:D475"/>
    <mergeCell ref="A476:B476"/>
    <mergeCell ref="C476:D476"/>
    <mergeCell ref="A471:B471"/>
    <mergeCell ref="C471:D471"/>
    <mergeCell ref="E471:F473"/>
    <mergeCell ref="A472:B472"/>
    <mergeCell ref="C472:D472"/>
    <mergeCell ref="A473:B473"/>
    <mergeCell ref="C473:D473"/>
    <mergeCell ref="A468:B468"/>
    <mergeCell ref="C468:D468"/>
    <mergeCell ref="E468:F470"/>
    <mergeCell ref="A469:B469"/>
    <mergeCell ref="C469:D469"/>
    <mergeCell ref="A470:B470"/>
    <mergeCell ref="C470:D470"/>
    <mergeCell ref="A465:B465"/>
    <mergeCell ref="C465:D465"/>
    <mergeCell ref="E465:F467"/>
    <mergeCell ref="A466:B466"/>
    <mergeCell ref="C466:D466"/>
    <mergeCell ref="A467:B467"/>
    <mergeCell ref="C467:D467"/>
    <mergeCell ref="A462:B462"/>
    <mergeCell ref="C462:D462"/>
    <mergeCell ref="E462:F464"/>
    <mergeCell ref="A463:B463"/>
    <mergeCell ref="C463:D463"/>
    <mergeCell ref="A464:B464"/>
    <mergeCell ref="C464:D464"/>
    <mergeCell ref="A459:B459"/>
    <mergeCell ref="C459:D459"/>
    <mergeCell ref="E459:F461"/>
    <mergeCell ref="A460:B460"/>
    <mergeCell ref="C460:D460"/>
    <mergeCell ref="A461:B461"/>
    <mergeCell ref="C461:D461"/>
    <mergeCell ref="A456:B456"/>
    <mergeCell ref="C456:D456"/>
    <mergeCell ref="E456:F458"/>
    <mergeCell ref="A457:B457"/>
    <mergeCell ref="C457:D457"/>
    <mergeCell ref="A458:B458"/>
    <mergeCell ref="C458:D458"/>
    <mergeCell ref="A453:B453"/>
    <mergeCell ref="C453:D453"/>
    <mergeCell ref="E453:F455"/>
    <mergeCell ref="A454:B454"/>
    <mergeCell ref="C454:D454"/>
    <mergeCell ref="A455:B455"/>
    <mergeCell ref="C455:D455"/>
    <mergeCell ref="A450:B450"/>
    <mergeCell ref="C450:D450"/>
    <mergeCell ref="E450:F452"/>
    <mergeCell ref="A451:B451"/>
    <mergeCell ref="C451:D451"/>
    <mergeCell ref="A452:B452"/>
    <mergeCell ref="C452:D452"/>
    <mergeCell ref="A447:B447"/>
    <mergeCell ref="C447:D447"/>
    <mergeCell ref="E447:F449"/>
    <mergeCell ref="A448:B448"/>
    <mergeCell ref="C448:D448"/>
    <mergeCell ref="A449:B449"/>
    <mergeCell ref="C449:D449"/>
    <mergeCell ref="A444:B444"/>
    <mergeCell ref="C444:D444"/>
    <mergeCell ref="E444:F446"/>
    <mergeCell ref="A445:B445"/>
    <mergeCell ref="C445:D445"/>
    <mergeCell ref="A446:B446"/>
    <mergeCell ref="C446:D446"/>
    <mergeCell ref="A441:B441"/>
    <mergeCell ref="C441:D441"/>
    <mergeCell ref="E441:F443"/>
    <mergeCell ref="A442:B442"/>
    <mergeCell ref="C442:D442"/>
    <mergeCell ref="A443:B443"/>
    <mergeCell ref="C443:D443"/>
    <mergeCell ref="A438:B438"/>
    <mergeCell ref="C438:D438"/>
    <mergeCell ref="E438:F440"/>
    <mergeCell ref="A439:B439"/>
    <mergeCell ref="C439:D439"/>
    <mergeCell ref="A440:B440"/>
    <mergeCell ref="C440:D440"/>
    <mergeCell ref="A435:B435"/>
    <mergeCell ref="C435:D435"/>
    <mergeCell ref="E435:F437"/>
    <mergeCell ref="A436:B436"/>
    <mergeCell ref="C436:D436"/>
    <mergeCell ref="A437:B437"/>
    <mergeCell ref="C437:D437"/>
    <mergeCell ref="A432:B432"/>
    <mergeCell ref="C432:D432"/>
    <mergeCell ref="E432:F434"/>
    <mergeCell ref="A433:B433"/>
    <mergeCell ref="C433:D433"/>
    <mergeCell ref="A434:B434"/>
    <mergeCell ref="C434:D434"/>
    <mergeCell ref="A429:B429"/>
    <mergeCell ref="C429:D429"/>
    <mergeCell ref="E429:F431"/>
    <mergeCell ref="A430:B430"/>
    <mergeCell ref="C430:D430"/>
    <mergeCell ref="A431:B431"/>
    <mergeCell ref="C431:D431"/>
    <mergeCell ref="A426:B426"/>
    <mergeCell ref="C426:D426"/>
    <mergeCell ref="E426:F428"/>
    <mergeCell ref="A427:B427"/>
    <mergeCell ref="C427:D427"/>
    <mergeCell ref="A428:B428"/>
    <mergeCell ref="C428:D428"/>
    <mergeCell ref="A423:B423"/>
    <mergeCell ref="C423:D423"/>
    <mergeCell ref="E423:F425"/>
    <mergeCell ref="A424:B424"/>
    <mergeCell ref="C424:D424"/>
    <mergeCell ref="A425:B425"/>
    <mergeCell ref="C425:D425"/>
    <mergeCell ref="A420:B420"/>
    <mergeCell ref="C420:D420"/>
    <mergeCell ref="E420:F422"/>
    <mergeCell ref="A421:B421"/>
    <mergeCell ref="C421:D421"/>
    <mergeCell ref="A422:B422"/>
    <mergeCell ref="C422:D422"/>
    <mergeCell ref="A417:B417"/>
    <mergeCell ref="C417:D417"/>
    <mergeCell ref="E417:F419"/>
    <mergeCell ref="A418:B418"/>
    <mergeCell ref="C418:D418"/>
    <mergeCell ref="A419:B419"/>
    <mergeCell ref="C419:D419"/>
    <mergeCell ref="A414:B414"/>
    <mergeCell ref="C414:D414"/>
    <mergeCell ref="E414:F416"/>
    <mergeCell ref="A415:B415"/>
    <mergeCell ref="C415:D415"/>
    <mergeCell ref="A416:B416"/>
    <mergeCell ref="C416:D416"/>
    <mergeCell ref="A411:B411"/>
    <mergeCell ref="C411:D411"/>
    <mergeCell ref="E411:F413"/>
    <mergeCell ref="A412:B412"/>
    <mergeCell ref="C412:D412"/>
    <mergeCell ref="A413:B413"/>
    <mergeCell ref="C413:D413"/>
    <mergeCell ref="A408:B408"/>
    <mergeCell ref="C408:D408"/>
    <mergeCell ref="E408:F410"/>
    <mergeCell ref="A409:B409"/>
    <mergeCell ref="C409:D409"/>
    <mergeCell ref="A410:B410"/>
    <mergeCell ref="C410:D410"/>
    <mergeCell ref="A405:B405"/>
    <mergeCell ref="C405:D405"/>
    <mergeCell ref="E405:F407"/>
    <mergeCell ref="A406:B406"/>
    <mergeCell ref="C406:D406"/>
    <mergeCell ref="A407:B407"/>
    <mergeCell ref="C407:D407"/>
    <mergeCell ref="A402:B402"/>
    <mergeCell ref="C402:D402"/>
    <mergeCell ref="E402:F404"/>
    <mergeCell ref="A403:B403"/>
    <mergeCell ref="C403:D403"/>
    <mergeCell ref="A404:B404"/>
    <mergeCell ref="C404:D404"/>
    <mergeCell ref="A399:B399"/>
    <mergeCell ref="C399:D399"/>
    <mergeCell ref="E399:F401"/>
    <mergeCell ref="A400:B400"/>
    <mergeCell ref="C400:D400"/>
    <mergeCell ref="A401:B401"/>
    <mergeCell ref="C401:D401"/>
    <mergeCell ref="A396:B396"/>
    <mergeCell ref="C396:D396"/>
    <mergeCell ref="E396:F398"/>
    <mergeCell ref="A397:B397"/>
    <mergeCell ref="C397:D397"/>
    <mergeCell ref="A398:B398"/>
    <mergeCell ref="C398:D398"/>
    <mergeCell ref="A393:B393"/>
    <mergeCell ref="C393:D393"/>
    <mergeCell ref="E393:F395"/>
    <mergeCell ref="A394:B394"/>
    <mergeCell ref="C394:D394"/>
    <mergeCell ref="A395:B395"/>
    <mergeCell ref="C395:D395"/>
    <mergeCell ref="A386:F388"/>
    <mergeCell ref="A390:B390"/>
    <mergeCell ref="C390:D390"/>
    <mergeCell ref="E390:F392"/>
    <mergeCell ref="A391:B391"/>
    <mergeCell ref="C391:D391"/>
    <mergeCell ref="A392:B392"/>
    <mergeCell ref="C392:D392"/>
    <mergeCell ref="A378:F380"/>
    <mergeCell ref="A382:B382"/>
    <mergeCell ref="C382:D382"/>
    <mergeCell ref="E382:F384"/>
    <mergeCell ref="A383:B383"/>
    <mergeCell ref="C383:D383"/>
    <mergeCell ref="A384:B384"/>
    <mergeCell ref="C384:D384"/>
    <mergeCell ref="A374:B374"/>
    <mergeCell ref="C374:D374"/>
    <mergeCell ref="F374:F376"/>
    <mergeCell ref="A375:B375"/>
    <mergeCell ref="C375:D375"/>
    <mergeCell ref="A376:B376"/>
    <mergeCell ref="C376:D376"/>
    <mergeCell ref="A371:B371"/>
    <mergeCell ref="C371:D371"/>
    <mergeCell ref="F371:F373"/>
    <mergeCell ref="A372:B372"/>
    <mergeCell ref="C372:D372"/>
    <mergeCell ref="A373:B373"/>
    <mergeCell ref="C373:D373"/>
    <mergeCell ref="A364:F366"/>
    <mergeCell ref="A368:B368"/>
    <mergeCell ref="C368:D368"/>
    <mergeCell ref="F368:F370"/>
    <mergeCell ref="A369:B369"/>
    <mergeCell ref="C369:D369"/>
    <mergeCell ref="A370:B370"/>
    <mergeCell ref="C370:D370"/>
    <mergeCell ref="A360:B360"/>
    <mergeCell ref="C360:D360"/>
    <mergeCell ref="F360:F362"/>
    <mergeCell ref="A361:B361"/>
    <mergeCell ref="C361:D361"/>
    <mergeCell ref="A362:B362"/>
    <mergeCell ref="C362:D362"/>
    <mergeCell ref="A357:B357"/>
    <mergeCell ref="C357:D357"/>
    <mergeCell ref="F357:F359"/>
    <mergeCell ref="A358:B358"/>
    <mergeCell ref="C358:D358"/>
    <mergeCell ref="A359:B359"/>
    <mergeCell ref="C359:D359"/>
    <mergeCell ref="A354:B354"/>
    <mergeCell ref="C354:D354"/>
    <mergeCell ref="F354:F356"/>
    <mergeCell ref="A355:B355"/>
    <mergeCell ref="C355:D355"/>
    <mergeCell ref="A356:B356"/>
    <mergeCell ref="C356:D356"/>
    <mergeCell ref="A351:B351"/>
    <mergeCell ref="C351:D351"/>
    <mergeCell ref="F351:F353"/>
    <mergeCell ref="A352:B352"/>
    <mergeCell ref="C352:D352"/>
    <mergeCell ref="A353:B353"/>
    <mergeCell ref="C353:D353"/>
    <mergeCell ref="A348:B348"/>
    <mergeCell ref="C348:D348"/>
    <mergeCell ref="F348:F350"/>
    <mergeCell ref="A349:B349"/>
    <mergeCell ref="C349:D349"/>
    <mergeCell ref="A350:B350"/>
    <mergeCell ref="C350:D350"/>
    <mergeCell ref="A345:B345"/>
    <mergeCell ref="C345:D345"/>
    <mergeCell ref="F345:F347"/>
    <mergeCell ref="A346:B346"/>
    <mergeCell ref="C346:D346"/>
    <mergeCell ref="A347:B347"/>
    <mergeCell ref="C347:D347"/>
    <mergeCell ref="A342:B342"/>
    <mergeCell ref="C342:D342"/>
    <mergeCell ref="F342:F344"/>
    <mergeCell ref="A343:B343"/>
    <mergeCell ref="C343:D343"/>
    <mergeCell ref="A344:B344"/>
    <mergeCell ref="C344:D344"/>
    <mergeCell ref="A339:B339"/>
    <mergeCell ref="C339:D339"/>
    <mergeCell ref="F339:F341"/>
    <mergeCell ref="A340:B340"/>
    <mergeCell ref="C340:D340"/>
    <mergeCell ref="A341:B341"/>
    <mergeCell ref="C341:D341"/>
    <mergeCell ref="A336:B336"/>
    <mergeCell ref="C336:D336"/>
    <mergeCell ref="F336:F338"/>
    <mergeCell ref="A337:B337"/>
    <mergeCell ref="C337:D337"/>
    <mergeCell ref="A338:B338"/>
    <mergeCell ref="C338:D338"/>
    <mergeCell ref="A333:B333"/>
    <mergeCell ref="C333:D333"/>
    <mergeCell ref="F333:F335"/>
    <mergeCell ref="A334:B334"/>
    <mergeCell ref="C334:D334"/>
    <mergeCell ref="A335:B335"/>
    <mergeCell ref="C335:D335"/>
    <mergeCell ref="A330:B330"/>
    <mergeCell ref="C330:D330"/>
    <mergeCell ref="F330:F332"/>
    <mergeCell ref="A331:B331"/>
    <mergeCell ref="C331:D331"/>
    <mergeCell ref="A332:B332"/>
    <mergeCell ref="C332:D332"/>
    <mergeCell ref="A327:B327"/>
    <mergeCell ref="C327:D327"/>
    <mergeCell ref="F327:F329"/>
    <mergeCell ref="A328:B328"/>
    <mergeCell ref="C328:D328"/>
    <mergeCell ref="A329:B329"/>
    <mergeCell ref="C329:D329"/>
    <mergeCell ref="A324:B324"/>
    <mergeCell ref="C324:D324"/>
    <mergeCell ref="F324:F326"/>
    <mergeCell ref="A325:B325"/>
    <mergeCell ref="C325:D325"/>
    <mergeCell ref="A326:B326"/>
    <mergeCell ref="C326:D326"/>
    <mergeCell ref="A321:B321"/>
    <mergeCell ref="C321:D321"/>
    <mergeCell ref="F321:F323"/>
    <mergeCell ref="A322:B322"/>
    <mergeCell ref="C322:D322"/>
    <mergeCell ref="A323:B323"/>
    <mergeCell ref="C323:D323"/>
    <mergeCell ref="A318:B318"/>
    <mergeCell ref="C318:D318"/>
    <mergeCell ref="F318:F320"/>
    <mergeCell ref="A319:B319"/>
    <mergeCell ref="C319:D319"/>
    <mergeCell ref="A320:B320"/>
    <mergeCell ref="C320:D320"/>
    <mergeCell ref="A315:B315"/>
    <mergeCell ref="C315:D315"/>
    <mergeCell ref="F315:F317"/>
    <mergeCell ref="A316:B316"/>
    <mergeCell ref="C316:D316"/>
    <mergeCell ref="A317:B317"/>
    <mergeCell ref="C317:D317"/>
    <mergeCell ref="A312:B312"/>
    <mergeCell ref="C312:D312"/>
    <mergeCell ref="F312:F314"/>
    <mergeCell ref="A313:B313"/>
    <mergeCell ref="C313:D313"/>
    <mergeCell ref="A314:B314"/>
    <mergeCell ref="C314:D314"/>
    <mergeCell ref="A309:B309"/>
    <mergeCell ref="C309:D309"/>
    <mergeCell ref="F309:F311"/>
    <mergeCell ref="A310:B310"/>
    <mergeCell ref="C310:D310"/>
    <mergeCell ref="A311:B311"/>
    <mergeCell ref="C311:D311"/>
    <mergeCell ref="A306:B306"/>
    <mergeCell ref="C306:D306"/>
    <mergeCell ref="F306:F308"/>
    <mergeCell ref="A307:B307"/>
    <mergeCell ref="C307:D307"/>
    <mergeCell ref="A308:B308"/>
    <mergeCell ref="C308:D308"/>
    <mergeCell ref="A303:B303"/>
    <mergeCell ref="C303:D303"/>
    <mergeCell ref="F303:F305"/>
    <mergeCell ref="A304:B304"/>
    <mergeCell ref="C304:D304"/>
    <mergeCell ref="A305:B305"/>
    <mergeCell ref="C305:D305"/>
    <mergeCell ref="A300:B300"/>
    <mergeCell ref="C300:D300"/>
    <mergeCell ref="F300:F302"/>
    <mergeCell ref="A301:B301"/>
    <mergeCell ref="C301:D301"/>
    <mergeCell ref="A302:B302"/>
    <mergeCell ref="C302:D302"/>
    <mergeCell ref="A297:B297"/>
    <mergeCell ref="C297:D297"/>
    <mergeCell ref="F297:F299"/>
    <mergeCell ref="A298:B298"/>
    <mergeCell ref="C298:D298"/>
    <mergeCell ref="A299:B299"/>
    <mergeCell ref="C299:D299"/>
    <mergeCell ref="A294:B294"/>
    <mergeCell ref="C294:D294"/>
    <mergeCell ref="F294:F296"/>
    <mergeCell ref="A295:B295"/>
    <mergeCell ref="C295:D295"/>
    <mergeCell ref="A296:B296"/>
    <mergeCell ref="C296:D296"/>
    <mergeCell ref="A291:B291"/>
    <mergeCell ref="C291:D291"/>
    <mergeCell ref="F291:F293"/>
    <mergeCell ref="A292:B292"/>
    <mergeCell ref="C292:D292"/>
    <mergeCell ref="A293:B293"/>
    <mergeCell ref="C293:D293"/>
    <mergeCell ref="A288:B288"/>
    <mergeCell ref="C288:D288"/>
    <mergeCell ref="F288:F290"/>
    <mergeCell ref="A289:B289"/>
    <mergeCell ref="C289:D289"/>
    <mergeCell ref="A290:B290"/>
    <mergeCell ref="C290:D290"/>
    <mergeCell ref="A285:B285"/>
    <mergeCell ref="C285:D285"/>
    <mergeCell ref="F285:F287"/>
    <mergeCell ref="A286:B286"/>
    <mergeCell ref="C286:D286"/>
    <mergeCell ref="A287:B287"/>
    <mergeCell ref="C287:D287"/>
    <mergeCell ref="A282:B282"/>
    <mergeCell ref="C282:D282"/>
    <mergeCell ref="F282:F284"/>
    <mergeCell ref="A283:B283"/>
    <mergeCell ref="C283:D283"/>
    <mergeCell ref="A284:B284"/>
    <mergeCell ref="C284:D284"/>
    <mergeCell ref="A279:B279"/>
    <mergeCell ref="C279:D279"/>
    <mergeCell ref="F279:F281"/>
    <mergeCell ref="A280:B280"/>
    <mergeCell ref="C280:D280"/>
    <mergeCell ref="A281:B281"/>
    <mergeCell ref="C281:D281"/>
    <mergeCell ref="A276:B276"/>
    <mergeCell ref="C276:D276"/>
    <mergeCell ref="F276:F278"/>
    <mergeCell ref="A277:B277"/>
    <mergeCell ref="C277:D277"/>
    <mergeCell ref="A278:B278"/>
    <mergeCell ref="C278:D278"/>
    <mergeCell ref="A273:B273"/>
    <mergeCell ref="C273:D273"/>
    <mergeCell ref="F273:F275"/>
    <mergeCell ref="A274:B274"/>
    <mergeCell ref="C274:D274"/>
    <mergeCell ref="A275:B275"/>
    <mergeCell ref="C275:D275"/>
    <mergeCell ref="A270:B270"/>
    <mergeCell ref="C270:D270"/>
    <mergeCell ref="F270:F272"/>
    <mergeCell ref="A271:B271"/>
    <mergeCell ref="C271:D271"/>
    <mergeCell ref="A272:B272"/>
    <mergeCell ref="C272:D272"/>
    <mergeCell ref="A267:B267"/>
    <mergeCell ref="C267:D267"/>
    <mergeCell ref="F267:F269"/>
    <mergeCell ref="A268:B268"/>
    <mergeCell ref="C268:D268"/>
    <mergeCell ref="A269:B269"/>
    <mergeCell ref="C269:D269"/>
    <mergeCell ref="A264:B264"/>
    <mergeCell ref="C264:D264"/>
    <mergeCell ref="F264:F266"/>
    <mergeCell ref="A265:B265"/>
    <mergeCell ref="C265:D265"/>
    <mergeCell ref="A266:B266"/>
    <mergeCell ref="C266:D266"/>
    <mergeCell ref="A261:B261"/>
    <mergeCell ref="C261:D261"/>
    <mergeCell ref="F261:F263"/>
    <mergeCell ref="A262:B262"/>
    <mergeCell ref="C262:D262"/>
    <mergeCell ref="A263:B263"/>
    <mergeCell ref="C263:D263"/>
    <mergeCell ref="A258:B258"/>
    <mergeCell ref="C258:D258"/>
    <mergeCell ref="F258:F260"/>
    <mergeCell ref="A259:B259"/>
    <mergeCell ref="C259:D259"/>
    <mergeCell ref="A260:B260"/>
    <mergeCell ref="C260:D260"/>
    <mergeCell ref="A255:B255"/>
    <mergeCell ref="C255:D255"/>
    <mergeCell ref="F255:F257"/>
    <mergeCell ref="A256:B256"/>
    <mergeCell ref="C256:D256"/>
    <mergeCell ref="A257:B257"/>
    <mergeCell ref="C257:D257"/>
    <mergeCell ref="A252:B252"/>
    <mergeCell ref="C252:D252"/>
    <mergeCell ref="F252:F254"/>
    <mergeCell ref="A253:B253"/>
    <mergeCell ref="C253:D253"/>
    <mergeCell ref="A254:B254"/>
    <mergeCell ref="C254:D254"/>
    <mergeCell ref="A249:B249"/>
    <mergeCell ref="C249:D249"/>
    <mergeCell ref="F249:F251"/>
    <mergeCell ref="A250:B250"/>
    <mergeCell ref="C250:D250"/>
    <mergeCell ref="A251:B251"/>
    <mergeCell ref="C251:D251"/>
    <mergeCell ref="A246:B246"/>
    <mergeCell ref="C246:D246"/>
    <mergeCell ref="F246:F248"/>
    <mergeCell ref="A247:B247"/>
    <mergeCell ref="C247:D247"/>
    <mergeCell ref="A248:B248"/>
    <mergeCell ref="C248:D248"/>
    <mergeCell ref="A243:B243"/>
    <mergeCell ref="C243:D243"/>
    <mergeCell ref="F243:F245"/>
    <mergeCell ref="A244:B244"/>
    <mergeCell ref="C244:D244"/>
    <mergeCell ref="A245:B245"/>
    <mergeCell ref="C245:D245"/>
    <mergeCell ref="A240:B240"/>
    <mergeCell ref="C240:D240"/>
    <mergeCell ref="F240:F242"/>
    <mergeCell ref="A241:B241"/>
    <mergeCell ref="C241:D241"/>
    <mergeCell ref="A242:B242"/>
    <mergeCell ref="C242:D242"/>
    <mergeCell ref="A237:B237"/>
    <mergeCell ref="C237:D237"/>
    <mergeCell ref="F237:F239"/>
    <mergeCell ref="A238:B238"/>
    <mergeCell ref="C238:D238"/>
    <mergeCell ref="A239:B239"/>
    <mergeCell ref="C239:D239"/>
    <mergeCell ref="A234:B234"/>
    <mergeCell ref="C234:D234"/>
    <mergeCell ref="F234:F236"/>
    <mergeCell ref="A235:B235"/>
    <mergeCell ref="C235:D235"/>
    <mergeCell ref="A236:B236"/>
    <mergeCell ref="C236:D236"/>
    <mergeCell ref="A231:B231"/>
    <mergeCell ref="C231:D231"/>
    <mergeCell ref="F231:F233"/>
    <mergeCell ref="A232:B232"/>
    <mergeCell ref="C232:D232"/>
    <mergeCell ref="A233:B233"/>
    <mergeCell ref="C233:D233"/>
    <mergeCell ref="A228:B228"/>
    <mergeCell ref="C228:D228"/>
    <mergeCell ref="F228:F230"/>
    <mergeCell ref="A229:B229"/>
    <mergeCell ref="C229:D229"/>
    <mergeCell ref="A230:B230"/>
    <mergeCell ref="C230:D230"/>
    <mergeCell ref="A225:B225"/>
    <mergeCell ref="C225:D225"/>
    <mergeCell ref="F225:F227"/>
    <mergeCell ref="A226:B226"/>
    <mergeCell ref="C226:D226"/>
    <mergeCell ref="A227:B227"/>
    <mergeCell ref="C227:D227"/>
    <mergeCell ref="A222:B222"/>
    <mergeCell ref="C222:D222"/>
    <mergeCell ref="F222:F224"/>
    <mergeCell ref="A223:B223"/>
    <mergeCell ref="C223:D223"/>
    <mergeCell ref="A224:B224"/>
    <mergeCell ref="C224:D224"/>
    <mergeCell ref="A219:B219"/>
    <mergeCell ref="C219:D219"/>
    <mergeCell ref="F219:F221"/>
    <mergeCell ref="A220:B220"/>
    <mergeCell ref="C220:D220"/>
    <mergeCell ref="A221:B221"/>
    <mergeCell ref="C221:D221"/>
    <mergeCell ref="A216:B216"/>
    <mergeCell ref="C216:D216"/>
    <mergeCell ref="F216:F218"/>
    <mergeCell ref="A217:B217"/>
    <mergeCell ref="C217:D217"/>
    <mergeCell ref="A218:B218"/>
    <mergeCell ref="C218:D218"/>
    <mergeCell ref="A213:B213"/>
    <mergeCell ref="C213:D213"/>
    <mergeCell ref="F213:F215"/>
    <mergeCell ref="A214:B214"/>
    <mergeCell ref="C214:D214"/>
    <mergeCell ref="A215:B215"/>
    <mergeCell ref="C215:D215"/>
    <mergeCell ref="A210:B210"/>
    <mergeCell ref="C210:D210"/>
    <mergeCell ref="F210:F212"/>
    <mergeCell ref="A211:B211"/>
    <mergeCell ref="C211:D211"/>
    <mergeCell ref="A212:B212"/>
    <mergeCell ref="C212:D212"/>
    <mergeCell ref="A207:B207"/>
    <mergeCell ref="C207:D207"/>
    <mergeCell ref="F207:F209"/>
    <mergeCell ref="A208:B208"/>
    <mergeCell ref="C208:D208"/>
    <mergeCell ref="A209:B209"/>
    <mergeCell ref="C209:D209"/>
    <mergeCell ref="A204:B204"/>
    <mergeCell ref="C204:D204"/>
    <mergeCell ref="F204:F206"/>
    <mergeCell ref="A205:B205"/>
    <mergeCell ref="C205:D205"/>
    <mergeCell ref="A206:B206"/>
    <mergeCell ref="C206:D206"/>
    <mergeCell ref="A201:B201"/>
    <mergeCell ref="C201:D201"/>
    <mergeCell ref="F201:F203"/>
    <mergeCell ref="A202:B202"/>
    <mergeCell ref="C202:D202"/>
    <mergeCell ref="A203:B203"/>
    <mergeCell ref="C203:D203"/>
    <mergeCell ref="A194:F196"/>
    <mergeCell ref="A198:B198"/>
    <mergeCell ref="C198:D198"/>
    <mergeCell ref="F198:F200"/>
    <mergeCell ref="A199:B199"/>
    <mergeCell ref="C199:D199"/>
    <mergeCell ref="A200:B200"/>
    <mergeCell ref="C200:D200"/>
    <mergeCell ref="A182:F184"/>
    <mergeCell ref="A186:F188"/>
    <mergeCell ref="A190:B190"/>
    <mergeCell ref="C190:D190"/>
    <mergeCell ref="F190:F192"/>
    <mergeCell ref="A191:B191"/>
    <mergeCell ref="C191:D191"/>
    <mergeCell ref="A192:B192"/>
    <mergeCell ref="C192:D192"/>
    <mergeCell ref="A175:F177"/>
    <mergeCell ref="A178:B178"/>
    <mergeCell ref="C178:D178"/>
    <mergeCell ref="E178:F180"/>
    <mergeCell ref="A179:B179"/>
    <mergeCell ref="C179:D179"/>
    <mergeCell ref="A180:B180"/>
    <mergeCell ref="C180:D180"/>
    <mergeCell ref="A172:B172"/>
    <mergeCell ref="C172:D172"/>
    <mergeCell ref="E172:F174"/>
    <mergeCell ref="A173:B173"/>
    <mergeCell ref="C173:D173"/>
    <mergeCell ref="A174:B174"/>
    <mergeCell ref="C174:D174"/>
    <mergeCell ref="A169:B169"/>
    <mergeCell ref="C169:D169"/>
    <mergeCell ref="E169:F171"/>
    <mergeCell ref="A170:B170"/>
    <mergeCell ref="C170:D170"/>
    <mergeCell ref="A171:B171"/>
    <mergeCell ref="C171:D171"/>
    <mergeCell ref="A163:F165"/>
    <mergeCell ref="A166:B166"/>
    <mergeCell ref="C166:D166"/>
    <mergeCell ref="E166:F168"/>
    <mergeCell ref="A167:B167"/>
    <mergeCell ref="C167:D167"/>
    <mergeCell ref="A168:B168"/>
    <mergeCell ref="C168:D168"/>
    <mergeCell ref="A160:B160"/>
    <mergeCell ref="C160:D160"/>
    <mergeCell ref="E160:F162"/>
    <mergeCell ref="A161:B161"/>
    <mergeCell ref="C161:D161"/>
    <mergeCell ref="A162:B162"/>
    <mergeCell ref="C162:D162"/>
    <mergeCell ref="A154:F156"/>
    <mergeCell ref="A157:B157"/>
    <mergeCell ref="C157:D157"/>
    <mergeCell ref="E157:F159"/>
    <mergeCell ref="A158:B158"/>
    <mergeCell ref="C158:D158"/>
    <mergeCell ref="A159:B159"/>
    <mergeCell ref="C159:D159"/>
    <mergeCell ref="A151:B151"/>
    <mergeCell ref="C151:D151"/>
    <mergeCell ref="E151:F153"/>
    <mergeCell ref="A152:B152"/>
    <mergeCell ref="C152:D152"/>
    <mergeCell ref="A153:B153"/>
    <mergeCell ref="C153:D153"/>
    <mergeCell ref="A148:B148"/>
    <mergeCell ref="C148:D148"/>
    <mergeCell ref="E148:F150"/>
    <mergeCell ref="A149:B149"/>
    <mergeCell ref="C149:D149"/>
    <mergeCell ref="A150:B150"/>
    <mergeCell ref="C150:D150"/>
    <mergeCell ref="A142:F144"/>
    <mergeCell ref="A145:B145"/>
    <mergeCell ref="C145:D145"/>
    <mergeCell ref="E145:F147"/>
    <mergeCell ref="A146:B146"/>
    <mergeCell ref="C146:D146"/>
    <mergeCell ref="A147:B147"/>
    <mergeCell ref="C147:D147"/>
    <mergeCell ref="A139:B139"/>
    <mergeCell ref="C139:D139"/>
    <mergeCell ref="E139:F141"/>
    <mergeCell ref="A140:B140"/>
    <mergeCell ref="C140:D140"/>
    <mergeCell ref="A141:B141"/>
    <mergeCell ref="C141:D141"/>
    <mergeCell ref="A136:B136"/>
    <mergeCell ref="C136:D136"/>
    <mergeCell ref="E136:F138"/>
    <mergeCell ref="A137:B137"/>
    <mergeCell ref="C137:D137"/>
    <mergeCell ref="A138:B138"/>
    <mergeCell ref="C138:D138"/>
    <mergeCell ref="A130:F132"/>
    <mergeCell ref="A133:B133"/>
    <mergeCell ref="C133:D133"/>
    <mergeCell ref="E133:F135"/>
    <mergeCell ref="A134:B134"/>
    <mergeCell ref="C134:D134"/>
    <mergeCell ref="A135:B135"/>
    <mergeCell ref="C135:D135"/>
    <mergeCell ref="A124:F126"/>
    <mergeCell ref="A127:B127"/>
    <mergeCell ref="C127:D127"/>
    <mergeCell ref="E127:F129"/>
    <mergeCell ref="A128:B128"/>
    <mergeCell ref="C128:D128"/>
    <mergeCell ref="A129:B129"/>
    <mergeCell ref="C129:D129"/>
    <mergeCell ref="A118:F120"/>
    <mergeCell ref="A121:B121"/>
    <mergeCell ref="C121:D121"/>
    <mergeCell ref="E121:F123"/>
    <mergeCell ref="A122:B122"/>
    <mergeCell ref="C122:D122"/>
    <mergeCell ref="A123:B123"/>
    <mergeCell ref="C123:D123"/>
    <mergeCell ref="A112:F114"/>
    <mergeCell ref="A115:B115"/>
    <mergeCell ref="C115:D115"/>
    <mergeCell ref="E115:F117"/>
    <mergeCell ref="A116:B116"/>
    <mergeCell ref="C116:D116"/>
    <mergeCell ref="A117:B117"/>
    <mergeCell ref="C117:D117"/>
    <mergeCell ref="A109:B109"/>
    <mergeCell ref="C109:D109"/>
    <mergeCell ref="E109:F111"/>
    <mergeCell ref="A110:B110"/>
    <mergeCell ref="C110:D110"/>
    <mergeCell ref="A111:B111"/>
    <mergeCell ref="C111:D111"/>
    <mergeCell ref="A103:F105"/>
    <mergeCell ref="A106:B106"/>
    <mergeCell ref="C106:D106"/>
    <mergeCell ref="E106:F108"/>
    <mergeCell ref="A107:B107"/>
    <mergeCell ref="C107:D107"/>
    <mergeCell ref="A108:B108"/>
    <mergeCell ref="C108:D108"/>
    <mergeCell ref="A100:B100"/>
    <mergeCell ref="C100:D100"/>
    <mergeCell ref="E100:F102"/>
    <mergeCell ref="A101:B101"/>
    <mergeCell ref="C101:D101"/>
    <mergeCell ref="A102:B102"/>
    <mergeCell ref="C102:D102"/>
    <mergeCell ref="A97:B97"/>
    <mergeCell ref="C97:D97"/>
    <mergeCell ref="E97:F99"/>
    <mergeCell ref="A98:B98"/>
    <mergeCell ref="C98:D98"/>
    <mergeCell ref="A99:B99"/>
    <mergeCell ref="C99:D99"/>
    <mergeCell ref="A91:F93"/>
    <mergeCell ref="A94:B94"/>
    <mergeCell ref="C94:D94"/>
    <mergeCell ref="E94:F96"/>
    <mergeCell ref="A95:B95"/>
    <mergeCell ref="C95:D95"/>
    <mergeCell ref="A96:B96"/>
    <mergeCell ref="C96:D96"/>
    <mergeCell ref="A88:B88"/>
    <mergeCell ref="C88:D88"/>
    <mergeCell ref="E88:F90"/>
    <mergeCell ref="A89:B89"/>
    <mergeCell ref="C89:D89"/>
    <mergeCell ref="A90:B90"/>
    <mergeCell ref="C90:D90"/>
    <mergeCell ref="A82:F84"/>
    <mergeCell ref="A85:B85"/>
    <mergeCell ref="C85:D85"/>
    <mergeCell ref="E85:F87"/>
    <mergeCell ref="A86:B86"/>
    <mergeCell ref="C86:D86"/>
    <mergeCell ref="A87:B87"/>
    <mergeCell ref="C87:D87"/>
    <mergeCell ref="A76:F78"/>
    <mergeCell ref="A79:B79"/>
    <mergeCell ref="C79:D79"/>
    <mergeCell ref="E79:F81"/>
    <mergeCell ref="A80:B80"/>
    <mergeCell ref="C80:D80"/>
    <mergeCell ref="A81:B81"/>
    <mergeCell ref="C81:D81"/>
    <mergeCell ref="A70:F72"/>
    <mergeCell ref="A73:B73"/>
    <mergeCell ref="C73:D73"/>
    <mergeCell ref="E73:F75"/>
    <mergeCell ref="A74:B74"/>
    <mergeCell ref="C74:D74"/>
    <mergeCell ref="A75:B75"/>
    <mergeCell ref="C75:D75"/>
    <mergeCell ref="A64:F66"/>
    <mergeCell ref="A67:B67"/>
    <mergeCell ref="C67:D67"/>
    <mergeCell ref="E67:F69"/>
    <mergeCell ref="A68:B68"/>
    <mergeCell ref="C68:D68"/>
    <mergeCell ref="A69:B69"/>
    <mergeCell ref="C69:D69"/>
    <mergeCell ref="A58:F60"/>
    <mergeCell ref="A61:B61"/>
    <mergeCell ref="C61:D61"/>
    <mergeCell ref="E61:F63"/>
    <mergeCell ref="A62:B62"/>
    <mergeCell ref="C62:D62"/>
    <mergeCell ref="A63:B63"/>
    <mergeCell ref="C63:D63"/>
    <mergeCell ref="A55:B55"/>
    <mergeCell ref="C55:D55"/>
    <mergeCell ref="E55:F57"/>
    <mergeCell ref="A56:B56"/>
    <mergeCell ref="C56:D56"/>
    <mergeCell ref="A57:B57"/>
    <mergeCell ref="C57:D57"/>
    <mergeCell ref="A52:B52"/>
    <mergeCell ref="C52:D52"/>
    <mergeCell ref="E52:F54"/>
    <mergeCell ref="A53:B53"/>
    <mergeCell ref="C53:D53"/>
    <mergeCell ref="A54:B54"/>
    <mergeCell ref="C54:D54"/>
    <mergeCell ref="A38:F40"/>
    <mergeCell ref="A42:F44"/>
    <mergeCell ref="A46:F48"/>
    <mergeCell ref="A49:B49"/>
    <mergeCell ref="C49:D49"/>
    <mergeCell ref="E49:F51"/>
    <mergeCell ref="A50:B50"/>
    <mergeCell ref="C50:D50"/>
    <mergeCell ref="A51:B51"/>
    <mergeCell ref="C51:D51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18</vt:i4>
      </vt:variant>
    </vt:vector>
  </HeadingPairs>
  <TitlesOfParts>
    <vt:vector size="32" baseType="lpstr">
      <vt:lpstr>zał.1</vt:lpstr>
      <vt:lpstr>zał.2</vt:lpstr>
      <vt:lpstr>zał.3</vt:lpstr>
      <vt:lpstr>zał.4</vt:lpstr>
      <vt:lpstr>zał.5</vt:lpstr>
      <vt:lpstr>zał.6 </vt:lpstr>
      <vt:lpstr>zał.7</vt:lpstr>
      <vt:lpstr>zał.8 </vt:lpstr>
      <vt:lpstr>zał.9</vt:lpstr>
      <vt:lpstr>zał.10 (Część A)</vt:lpstr>
      <vt:lpstr>zał.10 (Część B)</vt:lpstr>
      <vt:lpstr>zał.11</vt:lpstr>
      <vt:lpstr>zał.12</vt:lpstr>
      <vt:lpstr>zał.13</vt:lpstr>
      <vt:lpstr>'zał.10 (Część A)'!Excel_BuiltIn_Print_Titles</vt:lpstr>
      <vt:lpstr>zał.4!Excel_BuiltIn_Print_Titles</vt:lpstr>
      <vt:lpstr>zał.1!Obszar_wydruku</vt:lpstr>
      <vt:lpstr>zał.12!Obszar_wydruku</vt:lpstr>
      <vt:lpstr>zał.13!Obszar_wydruku</vt:lpstr>
      <vt:lpstr>zał.2!Obszar_wydruku</vt:lpstr>
      <vt:lpstr>zał.5!Obszar_wydruku</vt:lpstr>
      <vt:lpstr>zał.1!Tytuły_wydruku</vt:lpstr>
      <vt:lpstr>'zał.10 (Część A)'!Tytuły_wydruku</vt:lpstr>
      <vt:lpstr>zał.11!Tytuły_wydruku</vt:lpstr>
      <vt:lpstr>zał.12!Tytuły_wydruku</vt:lpstr>
      <vt:lpstr>zał.2!Tytuły_wydruku</vt:lpstr>
      <vt:lpstr>zał.3!Tytuły_wydruku</vt:lpstr>
      <vt:lpstr>zał.4!Tytuły_wydruku</vt:lpstr>
      <vt:lpstr>'zał.6 '!Tytuły_wydruku</vt:lpstr>
      <vt:lpstr>zał.7!Tytuły_wydruku</vt:lpstr>
      <vt:lpstr>'zał.8 '!Tytuły_wydruku</vt:lpstr>
      <vt:lpstr>zał.9!Tytuły_wydruku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Sobierajska</dc:creator>
  <cp:lastModifiedBy>Anna Sobierajska</cp:lastModifiedBy>
  <cp:lastPrinted>2020-12-18T10:45:35Z</cp:lastPrinted>
  <dcterms:created xsi:type="dcterms:W3CDTF">2020-12-19T11:53:25Z</dcterms:created>
  <dcterms:modified xsi:type="dcterms:W3CDTF">2020-12-19T11:53:29Z</dcterms:modified>
</cp:coreProperties>
</file>